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1355" yWindow="315" windowWidth="11895" windowHeight="7110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1'!$A$3:$G$78</definedName>
    <definedName name="_xlnm.Print_Area" localSheetId="2">'Раздел 2'!$A$2:$I$49</definedName>
    <definedName name="_xlnm.Print_Area" localSheetId="3">'Расчеты 2022г'!$A$1:$P$258</definedName>
  </definedNames>
  <calcPr calcId="124519"/>
</workbook>
</file>

<file path=xl/calcChain.xml><?xml version="1.0" encoding="utf-8"?>
<calcChain xmlns="http://schemas.openxmlformats.org/spreadsheetml/2006/main">
  <c r="G235" i="29"/>
  <c r="J235"/>
  <c r="H19" i="21"/>
  <c r="F19"/>
  <c r="F16"/>
  <c r="R51" i="29"/>
  <c r="H262"/>
  <c r="I20" i="12" l="1"/>
  <c r="Q14" i="29" l="1"/>
  <c r="G14"/>
  <c r="H13"/>
  <c r="G13"/>
  <c r="Q15"/>
  <c r="G15" l="1"/>
  <c r="R55" l="1"/>
  <c r="H247"/>
  <c r="N256"/>
  <c r="G254"/>
  <c r="G230"/>
  <c r="G231"/>
  <c r="G183"/>
  <c r="G187"/>
  <c r="K256"/>
  <c r="F263" s="1"/>
  <c r="G68"/>
  <c r="G69" s="1"/>
  <c r="H69" s="1"/>
  <c r="H255"/>
  <c r="H249"/>
  <c r="T191"/>
  <c r="G228"/>
  <c r="G226"/>
  <c r="G227"/>
  <c r="G225"/>
  <c r="G234"/>
  <c r="G185" l="1"/>
  <c r="E79" l="1"/>
  <c r="Q79" s="1"/>
  <c r="D26" i="12" l="1"/>
  <c r="D37"/>
  <c r="D32" l="1"/>
  <c r="L265" i="29"/>
  <c r="D19" i="12"/>
  <c r="H263" i="29"/>
  <c r="H248"/>
  <c r="H254" l="1"/>
  <c r="H250"/>
  <c r="H251"/>
  <c r="H252"/>
  <c r="H253"/>
  <c r="F270"/>
  <c r="H246" l="1"/>
  <c r="H256" s="1"/>
  <c r="O13"/>
  <c r="M13" l="1"/>
  <c r="G233"/>
  <c r="G232"/>
  <c r="G229"/>
  <c r="G188"/>
  <c r="G169"/>
  <c r="G167"/>
  <c r="G168"/>
  <c r="G165"/>
  <c r="J58" l="1"/>
  <c r="U57"/>
  <c r="U15"/>
  <c r="Q13" s="1"/>
  <c r="G197"/>
  <c r="G216"/>
  <c r="G217" s="1"/>
  <c r="J217" s="1"/>
  <c r="H43"/>
  <c r="G109"/>
  <c r="G161"/>
  <c r="G162"/>
  <c r="G163"/>
  <c r="G164"/>
  <c r="G166"/>
  <c r="G170"/>
  <c r="L269"/>
  <c r="G194"/>
  <c r="K264" l="1"/>
  <c r="N43"/>
  <c r="G182"/>
  <c r="G186" l="1"/>
  <c r="G10" i="12"/>
  <c r="U246" i="29"/>
  <c r="L262"/>
  <c r="G198"/>
  <c r="G195"/>
  <c r="G193"/>
  <c r="G192"/>
  <c r="G191"/>
  <c r="G190"/>
  <c r="G171"/>
  <c r="G151"/>
  <c r="G150"/>
  <c r="G149"/>
  <c r="G148"/>
  <c r="G147"/>
  <c r="G129"/>
  <c r="G128"/>
  <c r="G53"/>
  <c r="F15"/>
  <c r="F14"/>
  <c r="J14" l="1"/>
  <c r="K14" s="1"/>
  <c r="T246"/>
  <c r="U247" s="1"/>
  <c r="J15"/>
  <c r="K15" s="1"/>
  <c r="L15" l="1"/>
  <c r="L14"/>
  <c r="S14"/>
  <c r="R14" s="1"/>
  <c r="I8" i="21"/>
  <c r="L268" i="29"/>
  <c r="L267"/>
  <c r="L266"/>
  <c r="L264"/>
  <c r="N264" s="1"/>
  <c r="L263"/>
  <c r="E37" i="12"/>
  <c r="E32" s="1"/>
  <c r="F37"/>
  <c r="F32" s="1"/>
  <c r="E59"/>
  <c r="G8" i="21" s="1"/>
  <c r="F59" i="12"/>
  <c r="H8" i="21" s="1"/>
  <c r="G59" i="12"/>
  <c r="D59"/>
  <c r="E48"/>
  <c r="F48"/>
  <c r="D48"/>
  <c r="E14"/>
  <c r="F14"/>
  <c r="G14"/>
  <c r="D14"/>
  <c r="E19"/>
  <c r="F19"/>
  <c r="G19"/>
  <c r="L270" i="29" l="1"/>
  <c r="D31" i="12"/>
  <c r="D11"/>
  <c r="F8" i="21"/>
  <c r="H15"/>
  <c r="H29" s="1"/>
  <c r="H1"/>
  <c r="G15"/>
  <c r="G29" s="1"/>
  <c r="G1"/>
  <c r="F31" i="12"/>
  <c r="F11"/>
  <c r="E11"/>
  <c r="E31"/>
  <c r="L271" i="29"/>
  <c r="F1" i="21" l="1"/>
  <c r="F15"/>
  <c r="F29" s="1"/>
  <c r="F10" i="12"/>
  <c r="D1"/>
  <c r="F2"/>
  <c r="F1"/>
  <c r="E10"/>
  <c r="D10"/>
  <c r="H264" i="29" s="1"/>
  <c r="H265" s="1"/>
  <c r="E1" i="12"/>
  <c r="E2"/>
  <c r="R53" i="29"/>
  <c r="D2" i="12" l="1"/>
  <c r="H58" i="29"/>
  <c r="G160" l="1"/>
  <c r="H81"/>
  <c r="I81" s="1"/>
  <c r="M264"/>
  <c r="F247"/>
  <c r="F245"/>
  <c r="I256"/>
  <c r="S256" s="1"/>
  <c r="U256" s="1"/>
  <c r="F242"/>
  <c r="G208"/>
  <c r="H208" s="1"/>
  <c r="M199"/>
  <c r="G196"/>
  <c r="G184"/>
  <c r="H199"/>
  <c r="G181"/>
  <c r="M173"/>
  <c r="H173"/>
  <c r="G172"/>
  <c r="J173"/>
  <c r="I152"/>
  <c r="H130"/>
  <c r="G119"/>
  <c r="G110"/>
  <c r="E99"/>
  <c r="E90"/>
  <c r="K267" s="1"/>
  <c r="M58"/>
  <c r="Q58" s="1"/>
  <c r="R56"/>
  <c r="H34"/>
  <c r="E25"/>
  <c r="G25" s="1"/>
  <c r="P16"/>
  <c r="O16"/>
  <c r="N16"/>
  <c r="M16"/>
  <c r="J152" l="1"/>
  <c r="G199"/>
  <c r="F264"/>
  <c r="D264" s="1"/>
  <c r="K268"/>
  <c r="S98"/>
  <c r="M267"/>
  <c r="N267"/>
  <c r="K269"/>
  <c r="N269" s="1"/>
  <c r="M268"/>
  <c r="N268"/>
  <c r="T247"/>
  <c r="K263"/>
  <c r="S15"/>
  <c r="R15" s="1"/>
  <c r="S257"/>
  <c r="G173"/>
  <c r="K270" s="1"/>
  <c r="R57"/>
  <c r="R52" s="1"/>
  <c r="F243"/>
  <c r="M269"/>
  <c r="Q173"/>
  <c r="K266"/>
  <c r="I34"/>
  <c r="F99"/>
  <c r="I130"/>
  <c r="J199"/>
  <c r="T163"/>
  <c r="R173" l="1"/>
  <c r="N270"/>
  <c r="D263"/>
  <c r="M263"/>
  <c r="N263"/>
  <c r="M266"/>
  <c r="N266"/>
  <c r="G264"/>
  <c r="T192"/>
  <c r="Q174"/>
  <c r="Q199"/>
  <c r="Q200" s="1"/>
  <c r="G29" i="12"/>
  <c r="O270" i="29" l="1"/>
  <c r="T199"/>
  <c r="G263"/>
  <c r="M270"/>
  <c r="F13"/>
  <c r="J13" l="1"/>
  <c r="K13" s="1"/>
  <c r="S13" l="1"/>
  <c r="R13" s="1"/>
  <c r="K16"/>
  <c r="V15" s="1"/>
  <c r="L13"/>
  <c r="L16" s="1"/>
  <c r="F262" s="1"/>
  <c r="D262" l="1"/>
  <c r="U16"/>
  <c r="K262"/>
  <c r="M262" s="1"/>
  <c r="F52"/>
  <c r="G52" s="1"/>
  <c r="F265" l="1"/>
  <c r="G262"/>
  <c r="G265" s="1"/>
  <c r="N262"/>
  <c r="G51"/>
  <c r="F57"/>
  <c r="G57" s="1"/>
  <c r="F56"/>
  <c r="G56" s="1"/>
  <c r="F55"/>
  <c r="G55" s="1"/>
  <c r="G54" l="1"/>
  <c r="G58" s="1"/>
  <c r="K265" s="1"/>
  <c r="Q59" l="1"/>
  <c r="U58"/>
  <c r="S58"/>
  <c r="U59"/>
  <c r="N265"/>
  <c r="M265" l="1"/>
  <c r="K271"/>
  <c r="N271" s="1"/>
  <c r="K272" l="1"/>
  <c r="M271"/>
  <c r="K273"/>
</calcChain>
</file>

<file path=xl/comments1.xml><?xml version="1.0" encoding="utf-8"?>
<comments xmlns="http://schemas.openxmlformats.org/spreadsheetml/2006/main">
  <authors>
    <author>Субеева Елена</author>
  </authors>
  <commentList>
    <comment ref="D147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223.01
</t>
        </r>
      </text>
    </comment>
    <comment ref="D148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223.03
</t>
        </r>
      </text>
    </comment>
    <comment ref="D149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4</t>
        </r>
      </text>
    </comment>
    <comment ref="D150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5
</t>
        </r>
      </text>
    </comment>
    <comment ref="D151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223.06
</t>
        </r>
      </text>
    </comment>
  </commentList>
</comments>
</file>

<file path=xl/sharedStrings.xml><?xml version="1.0" encoding="utf-8"?>
<sst xmlns="http://schemas.openxmlformats.org/spreadsheetml/2006/main" count="1256" uniqueCount="436">
  <si>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</si>
  <si>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</si>
  <si>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</si>
  <si>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</si>
  <si>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</si>
  <si>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</si>
  <si>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</si>
  <si>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</si>
  <si>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</si>
  <si>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</si>
  <si>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</si>
  <si>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</si>
  <si>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</si>
  <si>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</si>
  <si>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</si>
  <si>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</si>
  <si>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</si>
  <si>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</si>
  <si>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</si>
  <si>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</si>
  <si>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</si>
  <si>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</si>
  <si>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</si>
  <si>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</si>
  <si>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</si>
  <si>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</si>
  <si>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</si>
  <si>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</si>
  <si>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</si>
  <si>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</si>
  <si>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</si>
  <si>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</si>
  <si>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</si>
  <si>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</si>
  <si>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</si>
  <si>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</si>
  <si>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</si>
  <si>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</si>
  <si>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</si>
  <si>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</si>
  <si>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</si>
  <si>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</si>
  <si>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</si>
  <si>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</si>
  <si>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</si>
  <si>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</si>
  <si>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</si>
  <si>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</si>
  <si>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</si>
  <si>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</si>
  <si>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</si>
  <si>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</si>
  <si>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</si>
  <si>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</si>
  <si>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</si>
  <si>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</si>
  <si>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</si>
  <si>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</si>
  <si>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</si>
  <si>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</si>
  <si>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</si>
  <si>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</si>
  <si>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</si>
  <si>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</si>
  <si>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</si>
  <si>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</si>
  <si>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</si>
  <si>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</si>
  <si>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</si>
  <si>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</si>
  <si>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</si>
  <si>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</si>
  <si>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</si>
  <si>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</si>
  <si>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</si>
  <si>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</si>
  <si>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</si>
  <si>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</si>
  <si>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</si>
  <si>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</si>
  <si>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</si>
  <si>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</si>
  <si>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</si>
  <si>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</si>
  <si>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</si>
  <si>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</si>
  <si>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</si>
  <si>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</si>
  <si>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</si>
  <si>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</si>
  <si>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</si>
  <si>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</si>
  <si>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</si>
  <si>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</si>
  <si>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</si>
  <si>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</si>
  <si>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</si>
  <si>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</si>
  <si>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</si>
  <si>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</si>
  <si>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</si>
  <si>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</si>
  <si>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</si>
  <si>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</si>
  <si>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</si>
  <si>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</si>
  <si>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</si>
  <si>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</si>
  <si>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</si>
  <si>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</si>
  <si>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</si>
  <si>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</si>
  <si>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</si>
  <si>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</si>
  <si>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</si>
  <si>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</si>
  <si>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</si>
  <si>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</si>
  <si>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</si>
  <si>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</si>
  <si>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</si>
  <si>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</si>
  <si>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</si>
  <si>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</si>
  <si>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</si>
  <si>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</si>
  <si>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 xml:space="preserve">из них:  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</si>
  <si>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</si>
  <si>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</si>
  <si>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</si>
  <si>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</si>
  <si>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</si>
  <si>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</si>
  <si>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</si>
  <si>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</si>
  <si>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</si>
  <si>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</si>
  <si>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</si>
  <si>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</si>
  <si>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</si>
  <si>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</si>
  <si>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</si>
  <si>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</si>
  <si>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</si>
  <si>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</si>
  <si>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</si>
  <si>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</si>
  <si>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</si>
  <si>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</si>
  <si>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</si>
  <si>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</si>
  <si>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</si>
  <si>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</si>
  <si>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</si>
  <si>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</si>
  <si>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</si>
  <si>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</si>
  <si>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</si>
  <si>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</si>
  <si>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</si>
  <si>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</si>
  <si>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</si>
  <si>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</si>
  <si>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</si>
  <si>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</si>
  <si>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</si>
  <si>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</si>
  <si>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</si>
  <si>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</si>
  <si>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</si>
  <si>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</si>
  <si>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</si>
  <si>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</si>
  <si>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</si>
  <si>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</si>
  <si>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</si>
  <si>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</si>
  <si>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</si>
  <si>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</si>
  <si>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</si>
  <si>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</si>
  <si>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</si>
  <si>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</si>
  <si>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</si>
  <si>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</si>
  <si>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</si>
  <si>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</si>
  <si>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</si>
  <si>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</si>
  <si>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</si>
  <si>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</si>
  <si>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</si>
  <si>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</si>
  <si>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</si>
  <si>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</si>
  <si>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</si>
  <si>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</si>
  <si>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</si>
  <si>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</si>
  <si>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</si>
  <si>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</si>
  <si>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</si>
  <si>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</si>
  <si>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</si>
  <si>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</si>
  <si>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</si>
  <si>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</si>
  <si>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</si>
  <si>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</si>
  <si>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</si>
  <si>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</si>
  <si>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</si>
  <si>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</si>
  <si>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</si>
  <si>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</si>
  <si>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</si>
  <si>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</si>
  <si>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</si>
  <si>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</si>
  <si>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</si>
  <si>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</si>
  <si>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</si>
  <si>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</si>
  <si>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</si>
  <si>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</si>
  <si>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</si>
  <si>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</si>
  <si>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</si>
  <si>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</si>
  <si>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</si>
  <si>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</si>
  <si>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</si>
  <si>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</si>
  <si>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</si>
  <si>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</si>
  <si>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</si>
  <si>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</si>
  <si>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</si>
  <si>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</si>
  <si>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</si>
  <si>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</si>
  <si>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</si>
  <si>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</si>
  <si>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</si>
  <si>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</si>
  <si>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</si>
  <si>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</si>
  <si>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</si>
  <si>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</si>
  <si>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</si>
  <si>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</si>
  <si>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</si>
  <si>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</si>
  <si>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</si>
  <si>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</si>
  <si>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</si>
  <si>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</si>
  <si>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</si>
  <si>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</si>
  <si>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</si>
  <si>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</si>
  <si>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</si>
  <si>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</si>
  <si>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</si>
  <si>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</si>
  <si>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</si>
  <si>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</si>
  <si>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</si>
  <si>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</si>
  <si>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</si>
  <si>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Налог на негативное воздействие</t>
  </si>
  <si>
    <t>Оплата услуг водоснабжения</t>
  </si>
  <si>
    <t>Оплата услуг водоотведения и вывоз жидких бытовых отходов при отсутствии центральной системы канализации</t>
  </si>
  <si>
    <t>6.</t>
  </si>
  <si>
    <t>Дератизация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</si>
  <si>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</si>
  <si>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</si>
  <si>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Ремонт и установка ограждений территорий</t>
  </si>
  <si>
    <t>Съем показаний учета тепловой энергии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</si>
  <si>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</si>
  <si>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</si>
  <si>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</si>
  <si>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</si>
  <si>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</si>
  <si>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</si>
  <si>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Посуда</t>
  </si>
  <si>
    <t>Электротовары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</si>
  <si>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</si>
  <si>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</si>
  <si>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</si>
  <si>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</si>
  <si>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</si>
  <si>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</si>
  <si>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</si>
  <si>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</si>
  <si>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</si>
  <si>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</si>
  <si>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</si>
  <si>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</si>
  <si>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</si>
  <si>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</si>
  <si>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</si>
  <si>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</si>
  <si>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</si>
  <si>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</si>
  <si>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</si>
  <si>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</si>
  <si>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</si>
  <si>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</si>
  <si>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</si>
  <si>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</si>
  <si>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</si>
  <si>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</si>
  <si>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</si>
  <si>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</si>
  <si>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ст.341</t>
  </si>
  <si>
    <t>ст.342</t>
  </si>
  <si>
    <t>ст.344</t>
  </si>
  <si>
    <t>ст.346</t>
  </si>
  <si>
    <t>ст.349</t>
  </si>
  <si>
    <t>Классные журналы</t>
  </si>
  <si>
    <t xml:space="preserve">МЗ </t>
  </si>
  <si>
    <t>Курсы повышения квалификации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</si>
  <si>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</si>
  <si>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</si>
  <si>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</si>
  <si>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</si>
  <si>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</si>
  <si>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</si>
  <si>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</si>
  <si>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</si>
  <si>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</si>
  <si>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</si>
  <si>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</si>
  <si>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</si>
  <si>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</si>
  <si>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</si>
  <si>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О.Н.Такмурзина     </t>
    </r>
    <r>
      <rPr>
        <sz val="12"/>
        <color theme="1"/>
        <rFont val="Times New Roman"/>
        <family val="1"/>
        <charset val="204"/>
      </rPr>
      <t>/</t>
    </r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</si>
  <si>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</si>
  <si>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Канцелярские принадлежности, бумага</t>
  </si>
  <si>
    <t>остаток</t>
  </si>
  <si>
    <t>Педагогические работники</t>
  </si>
  <si>
    <t>Такмурзина О.Н.</t>
  </si>
  <si>
    <t>Муниципальное бюджетное общеобразовательное учреждение «Средняя общеобразовательная школа № 1» города Сорочинска Оренбургской области</t>
  </si>
  <si>
    <t xml:space="preserve">муниципальное бюджетное общеобразовательное учреждение "Средняя общеобразовательная школа № 1" города Сорочинска Оренбургской области </t>
  </si>
  <si>
    <t>Раздел 1. Поступления и выплаты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</si>
  <si>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полномочий.</t>
  </si>
  <si>
    <t>5.7. Расчет (обоснование) расходов на услуги, работы для целей капитальных вложений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</si>
  <si>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</si>
  <si>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</si>
  <si>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Перевозка отходов</t>
  </si>
  <si>
    <t>ст 228</t>
  </si>
  <si>
    <t>2420</t>
  </si>
  <si>
    <t>Код бюджетной классификации Российской Федерации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</si>
  <si>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</si>
  <si>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</si>
  <si>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</si>
  <si>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</si>
  <si>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</si>
  <si>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</si>
  <si>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</si>
  <si>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</si>
  <si>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</si>
  <si>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</si>
  <si>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</si>
  <si>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федерал</t>
  </si>
  <si>
    <t>Поверка манометра</t>
  </si>
  <si>
    <t>Осуществление строительного контроля</t>
  </si>
  <si>
    <t>Средства индивидуальной защиты</t>
  </si>
  <si>
    <t>Хозтовары</t>
  </si>
  <si>
    <t>иные цели</t>
  </si>
  <si>
    <t>Приобретение (изготовление) прочих объектов, относящихся к материальным запасам</t>
  </si>
  <si>
    <t>закупка энергетических ресурсов</t>
  </si>
  <si>
    <t>2650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</si>
  <si>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</si>
  <si>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</si>
  <si>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</si>
  <si>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</si>
  <si>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</si>
  <si>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</si>
  <si>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взносы на обязательное социальное страхование в части выплат персоналу, подлежащих обложению страховыми взносами</t>
  </si>
  <si>
    <t>Поддержка школьных инициатив</t>
  </si>
  <si>
    <t>Организация  обучения руководителей учреждений, ответственных за энергоэффективность методам энергосбережения, технико-экономической оценке энергосберегающих мероприятий.</t>
  </si>
  <si>
    <t>остаток ПДД на 01.01.2022г</t>
  </si>
  <si>
    <t>Пюржавель</t>
  </si>
  <si>
    <t>3.3.</t>
  </si>
  <si>
    <t>Уплата прочих налогов, сборов</t>
  </si>
  <si>
    <t>3.4.</t>
  </si>
  <si>
    <t>3.5.</t>
  </si>
  <si>
    <t>в том числе:  Уменьшение стоимости материальных запасов</t>
  </si>
  <si>
    <t>Приобретение аттестатов</t>
  </si>
  <si>
    <t>ст 347</t>
  </si>
  <si>
    <t>в том числе:Проведение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</si>
  <si>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2140</t>
  </si>
  <si>
    <t>2141</t>
  </si>
  <si>
    <t>2142</t>
  </si>
  <si>
    <t>2143</t>
  </si>
  <si>
    <t>квалифицированные сертификаты</t>
  </si>
  <si>
    <t>"____" ______________ 2023г.</t>
  </si>
  <si>
    <t xml:space="preserve">Приобретение Кресла </t>
  </si>
  <si>
    <t>Ноутбук</t>
  </si>
  <si>
    <t>Сушилка для рук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</si>
  <si>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</si>
  <si>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</si>
  <si>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>"___" ____________ 2023 г.</t>
  </si>
  <si>
    <t xml:space="preserve">                                         Т.В.Федорова</t>
  </si>
  <si>
    <t>Организация обучения руководителей учреждения</t>
  </si>
  <si>
    <t>Баннер</t>
  </si>
  <si>
    <t>Обучение</t>
  </si>
  <si>
    <t>Повышение квалификации</t>
  </si>
  <si>
    <t>Лестница</t>
  </si>
  <si>
    <t>Приобретение гсм</t>
  </si>
  <si>
    <t>5.1.</t>
  </si>
  <si>
    <t>5.2.</t>
  </si>
  <si>
    <t>5.3.</t>
  </si>
  <si>
    <t>5.4.</t>
  </si>
  <si>
    <t>Проведение мероприятий, направленных на энергосбережение</t>
  </si>
  <si>
    <t>5.5.</t>
  </si>
  <si>
    <t>ст 343</t>
  </si>
  <si>
    <t xml:space="preserve"> Заместитель главы администрации городского округа по социальным вопросам - начальник Управления образования</t>
  </si>
  <si>
    <t>Куркина Т.В. 8(35346)4-26-53</t>
  </si>
  <si>
    <t>Програмно-аппаратный комплекс</t>
  </si>
  <si>
    <t>Жалюзи</t>
  </si>
  <si>
    <t>Поверка приборов учета</t>
  </si>
  <si>
    <t>Приобретение оборудования освещения по перимитру здания школы и сада</t>
  </si>
  <si>
    <t>обеспечение проведения аттестации рабочих мест по условиям труда</t>
  </si>
  <si>
    <t>Услуги хостинга</t>
  </si>
  <si>
    <t>(на 2024 г. и плановый период 2025 и 2026 годов)</t>
  </si>
  <si>
    <t>«___»   ______________ 2024 г.</t>
  </si>
  <si>
    <t>от "01" января  2024 г.</t>
  </si>
  <si>
    <t>на 2024 г. (текущий финансовый год)</t>
  </si>
  <si>
    <t>на 2025 г. (первый год планового периода)</t>
  </si>
  <si>
    <t>на 2026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</si>
  <si>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"Средняя общеобразовательная школа № 1" города Сорочинска Оренбургской области на 2024год</t>
  </si>
  <si>
    <t>План финансово-хозяйственной деятельности на 2024 г.</t>
  </si>
  <si>
    <t>Приобретение основных средств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</si>
</sst>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0.0"/>
    <numFmt numFmtId="166" formatCode="0.000"/>
  </numFmts>
  <fonts count="20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</cellStyleXfs>
  <cellXfs count="26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2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17" fillId="0" borderId="1" xfId="0" applyFont="1" applyBorder="1"/>
    <xf numFmtId="165" fontId="1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/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165" fontId="17" fillId="0" borderId="0" xfId="0" applyNumberFormat="1" applyFont="1" applyFill="1" applyAlignment="1">
      <alignment horizontal="right" vertical="center"/>
    </xf>
    <xf numFmtId="165" fontId="17" fillId="0" borderId="0" xfId="0" applyNumberFormat="1" applyFont="1" applyFill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 wrapText="1"/>
    </xf>
    <xf numFmtId="16" fontId="3" fillId="0" borderId="1" xfId="0" applyNumberFormat="1" applyFont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0" fillId="0" borderId="0" xfId="0" applyFill="1" applyAlignment="1">
      <alignment horizontal="right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2" fontId="0" fillId="0" borderId="0" xfId="0" applyNumberForma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65" fontId="17" fillId="0" borderId="0" xfId="0" applyNumberFormat="1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0" fillId="0" borderId="0" xfId="0" applyFill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7" fillId="0" borderId="0" xfId="0" applyFont="1" applyFill="1" applyAlignment="1"/>
    <xf numFmtId="0" fontId="1" fillId="0" borderId="0" xfId="0" applyFont="1" applyFill="1" applyBorder="1" applyAlignment="1"/>
    <xf numFmtId="4" fontId="1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5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2" fontId="17" fillId="0" borderId="0" xfId="0" applyNumberFormat="1" applyFont="1" applyFill="1" applyAlignment="1">
      <alignment vertical="center"/>
    </xf>
    <xf numFmtId="165" fontId="0" fillId="0" borderId="0" xfId="0" applyNumberForma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2" fontId="11" fillId="0" borderId="2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vertical="center"/>
    </xf>
    <xf numFmtId="0" fontId="11" fillId="0" borderId="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Alignment="1">
      <alignment horizontal="right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166" fontId="17" fillId="0" borderId="0" xfId="0" applyNumberFormat="1" applyFont="1" applyFill="1" applyAlignment="1">
      <alignment horizontal="right" vertical="center"/>
    </xf>
    <xf numFmtId="166" fontId="17" fillId="0" borderId="0" xfId="0" applyNumberFormat="1" applyFont="1" applyFill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vertical="center"/>
    </xf>
    <xf numFmtId="2" fontId="17" fillId="0" borderId="1" xfId="0" applyNumberFormat="1" applyFont="1" applyFill="1" applyBorder="1" applyAlignment="1">
      <alignment horizontal="left" vertical="center"/>
    </xf>
    <xf numFmtId="2" fontId="17" fillId="0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0" fillId="0" borderId="1" xfId="0" applyNumberFormat="1" applyBorder="1"/>
    <xf numFmtId="4" fontId="0" fillId="0" borderId="0" xfId="0" applyNumberFormat="1"/>
    <xf numFmtId="165" fontId="5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left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 applyProtection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2" xfId="1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topLeftCell="B1" zoomScale="80" zoomScaleSheetLayoutView="80" workbookViewId="0">
      <selection activeCell="K18" sqref="K18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194" t="s">
        <v>0</v>
      </c>
      <c r="I1" s="194"/>
    </row>
    <row r="2" spans="1:9" ht="15.75">
      <c r="A2" s="2"/>
      <c r="B2" s="2"/>
      <c r="C2" s="2"/>
      <c r="D2" s="2"/>
      <c r="E2" s="2"/>
      <c r="F2" s="2"/>
      <c r="G2" s="199" t="s">
        <v>325</v>
      </c>
      <c r="H2" s="199"/>
      <c r="I2" s="199"/>
    </row>
    <row r="3" spans="1:9" ht="13.5" customHeight="1">
      <c r="A3" s="2"/>
      <c r="B3" s="2"/>
      <c r="C3" s="2"/>
      <c r="D3" s="2"/>
      <c r="E3" s="2"/>
      <c r="F3" s="2"/>
      <c r="G3" s="200" t="s">
        <v>38</v>
      </c>
      <c r="H3" s="200"/>
      <c r="I3" s="200"/>
    </row>
    <row r="4" spans="1:9" ht="53.25" customHeight="1">
      <c r="A4" s="2"/>
      <c r="B4" s="2"/>
      <c r="C4" s="2"/>
      <c r="D4" s="2"/>
      <c r="E4" s="2"/>
      <c r="F4" s="2"/>
      <c r="G4" s="201" t="s">
        <v>344</v>
      </c>
      <c r="H4" s="201"/>
      <c r="I4" s="201"/>
    </row>
    <row r="5" spans="1:9" ht="15.75">
      <c r="A5" s="2"/>
      <c r="B5" s="2"/>
      <c r="C5" s="2"/>
      <c r="D5" s="2"/>
      <c r="E5" s="2"/>
      <c r="F5" s="2"/>
      <c r="G5" s="202" t="s">
        <v>39</v>
      </c>
      <c r="H5" s="202"/>
      <c r="I5" s="202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337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428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195" t="s">
        <v>434</v>
      </c>
      <c r="C10" s="195"/>
      <c r="D10" s="195"/>
      <c r="E10" s="195"/>
      <c r="F10" s="195"/>
      <c r="G10" s="195"/>
      <c r="H10" s="195"/>
      <c r="I10" s="2"/>
    </row>
    <row r="11" spans="1:9" ht="15.75">
      <c r="A11" s="2"/>
      <c r="B11" s="195" t="s">
        <v>427</v>
      </c>
      <c r="C11" s="195"/>
      <c r="D11" s="195"/>
      <c r="E11" s="195"/>
      <c r="F11" s="195"/>
      <c r="G11" s="195"/>
      <c r="H11" s="195"/>
      <c r="I11" s="25"/>
    </row>
    <row r="12" spans="1:9" ht="15.75">
      <c r="A12" s="2"/>
      <c r="B12" s="2"/>
      <c r="C12" s="2"/>
      <c r="D12" s="2"/>
      <c r="E12" s="4"/>
      <c r="F12" s="2"/>
      <c r="G12" s="2"/>
      <c r="H12" s="2"/>
      <c r="I12" s="25"/>
    </row>
    <row r="13" spans="1:9" ht="15.75">
      <c r="A13" s="2"/>
      <c r="B13" s="196" t="s">
        <v>429</v>
      </c>
      <c r="C13" s="196"/>
      <c r="D13" s="196"/>
      <c r="E13" s="196"/>
      <c r="F13" s="196"/>
      <c r="G13" s="196"/>
      <c r="H13" s="196"/>
      <c r="I13" s="111" t="s">
        <v>17</v>
      </c>
    </row>
    <row r="14" spans="1:9" ht="15.75">
      <c r="A14" s="2"/>
      <c r="B14" s="112"/>
      <c r="C14" s="112"/>
      <c r="D14" s="112"/>
      <c r="E14" s="112"/>
      <c r="F14" s="112"/>
      <c r="G14" s="112"/>
      <c r="H14" s="113" t="s">
        <v>16</v>
      </c>
      <c r="I14" s="114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>
      <c r="A16" s="197" t="s">
        <v>1</v>
      </c>
      <c r="B16" s="197"/>
      <c r="C16" s="197"/>
      <c r="D16" s="198" t="s">
        <v>241</v>
      </c>
      <c r="E16" s="198"/>
      <c r="F16" s="198"/>
      <c r="G16" s="198"/>
      <c r="H16" s="23" t="s">
        <v>42</v>
      </c>
      <c r="I16" s="8">
        <v>771</v>
      </c>
    </row>
    <row r="17" spans="1:9" ht="22.5" customHeight="1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5617006065</v>
      </c>
    </row>
    <row r="19" spans="1:9" ht="63.75" customHeight="1">
      <c r="A19" s="197" t="s">
        <v>46</v>
      </c>
      <c r="B19" s="197"/>
      <c r="C19" s="197"/>
      <c r="D19" s="198" t="s">
        <v>343</v>
      </c>
      <c r="E19" s="198"/>
      <c r="F19" s="198"/>
      <c r="G19" s="198"/>
      <c r="H19" s="21" t="s">
        <v>44</v>
      </c>
      <c r="I19" s="55">
        <v>561701001</v>
      </c>
    </row>
    <row r="20" spans="1:9" ht="24" customHeight="1">
      <c r="A20" s="197" t="s">
        <v>45</v>
      </c>
      <c r="B20" s="197"/>
      <c r="C20" s="197"/>
      <c r="D20" s="197"/>
      <c r="E20" s="24"/>
      <c r="F20" s="24"/>
      <c r="G20" s="24"/>
      <c r="H20" s="23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5"/>
  <sheetViews>
    <sheetView zoomScale="70" zoomScaleNormal="70" zoomScaleSheetLayoutView="70" workbookViewId="0">
      <selection activeCell="K27" sqref="K27:K28"/>
    </sheetView>
  </sheetViews>
  <sheetFormatPr defaultRowHeight="15"/>
  <cols>
    <col min="1" max="1" width="47.28515625" customWidth="1"/>
    <col min="3" max="3" width="18.140625" customWidth="1"/>
    <col min="4" max="4" width="15.85546875" style="10" customWidth="1"/>
    <col min="5" max="5" width="15.140625" style="10" customWidth="1"/>
    <col min="6" max="6" width="15.7109375" style="10" customWidth="1"/>
    <col min="7" max="7" width="16.7109375" customWidth="1"/>
    <col min="8" max="8" width="12" bestFit="1" customWidth="1"/>
    <col min="9" max="9" width="13" customWidth="1"/>
  </cols>
  <sheetData>
    <row r="1" spans="1:8">
      <c r="D1" s="66">
        <f>D11-D31</f>
        <v>-53493.049999993294</v>
      </c>
      <c r="E1" s="66">
        <f>E11-E31</f>
        <v>0</v>
      </c>
      <c r="F1" s="66">
        <f t="shared" ref="F1" si="0">F11-F31</f>
        <v>0</v>
      </c>
    </row>
    <row r="2" spans="1:8">
      <c r="D2" s="10" t="b">
        <f>D11+D9-D10=D31</f>
        <v>1</v>
      </c>
      <c r="E2" s="10" t="b">
        <f t="shared" ref="E2:F2" si="1">E11=E31</f>
        <v>1</v>
      </c>
      <c r="F2" s="10" t="b">
        <f t="shared" si="1"/>
        <v>1</v>
      </c>
    </row>
    <row r="4" spans="1:8" ht="15.75">
      <c r="B4" s="194" t="s">
        <v>345</v>
      </c>
      <c r="C4" s="194"/>
      <c r="D4" s="194"/>
      <c r="E4" s="194"/>
    </row>
    <row r="5" spans="1:8" ht="15.75">
      <c r="A5" s="13"/>
    </row>
    <row r="6" spans="1:8" ht="33.75" customHeight="1">
      <c r="A6" s="203" t="s">
        <v>3</v>
      </c>
      <c r="B6" s="203" t="s">
        <v>5</v>
      </c>
      <c r="C6" s="203" t="s">
        <v>6</v>
      </c>
      <c r="D6" s="203" t="s">
        <v>47</v>
      </c>
      <c r="E6" s="203"/>
      <c r="F6" s="203"/>
      <c r="G6" s="203"/>
      <c r="H6" s="12"/>
    </row>
    <row r="7" spans="1:8" ht="111" customHeight="1">
      <c r="A7" s="203"/>
      <c r="B7" s="203"/>
      <c r="C7" s="203"/>
      <c r="D7" s="15" t="s">
        <v>430</v>
      </c>
      <c r="E7" s="15" t="s">
        <v>431</v>
      </c>
      <c r="F7" s="15" t="s">
        <v>432</v>
      </c>
      <c r="G7" s="46" t="s">
        <v>48</v>
      </c>
      <c r="H7" s="12"/>
    </row>
    <row r="8" spans="1:8" ht="15.75">
      <c r="A8" s="33">
        <v>1</v>
      </c>
      <c r="B8" s="33">
        <v>2</v>
      </c>
      <c r="C8" s="33">
        <v>3</v>
      </c>
      <c r="D8" s="109">
        <v>4</v>
      </c>
      <c r="E8" s="109">
        <v>5</v>
      </c>
      <c r="F8" s="109">
        <v>6</v>
      </c>
      <c r="G8" s="33">
        <v>7</v>
      </c>
      <c r="H8" s="12"/>
    </row>
    <row r="9" spans="1:8" ht="31.5">
      <c r="A9" s="41" t="s">
        <v>49</v>
      </c>
      <c r="B9" s="35" t="s">
        <v>57</v>
      </c>
      <c r="C9" s="110" t="s">
        <v>12</v>
      </c>
      <c r="D9" s="186">
        <v>53493.05</v>
      </c>
      <c r="E9" s="186">
        <v>0</v>
      </c>
      <c r="F9" s="186">
        <v>0</v>
      </c>
      <c r="G9" s="65">
        <v>0</v>
      </c>
      <c r="H9" s="17"/>
    </row>
    <row r="10" spans="1:8" ht="31.5">
      <c r="A10" s="41" t="s">
        <v>50</v>
      </c>
      <c r="B10" s="35" t="s">
        <v>58</v>
      </c>
      <c r="C10" s="29" t="s">
        <v>12</v>
      </c>
      <c r="D10" s="186">
        <f>D9+D11-D31</f>
        <v>0</v>
      </c>
      <c r="E10" s="186">
        <f t="shared" ref="E10:G10" si="2">E9+E11-E31</f>
        <v>0</v>
      </c>
      <c r="F10" s="186">
        <f t="shared" si="2"/>
        <v>0</v>
      </c>
      <c r="G10" s="32">
        <f t="shared" si="2"/>
        <v>0</v>
      </c>
      <c r="H10" s="17"/>
    </row>
    <row r="11" spans="1:8" ht="22.5" customHeight="1">
      <c r="A11" s="47" t="s">
        <v>51</v>
      </c>
      <c r="B11" s="35" t="s">
        <v>59</v>
      </c>
      <c r="C11" s="29"/>
      <c r="D11" s="186">
        <f>D12+D14+D17+D19+D24+D26+D30</f>
        <v>31058383.820000004</v>
      </c>
      <c r="E11" s="186">
        <f>E12+E14+E17+E19+E24+E26+E30</f>
        <v>28907395.630000003</v>
      </c>
      <c r="F11" s="186">
        <f>F12+F14+F17+F19+F24+F26+F30</f>
        <v>28990585.98</v>
      </c>
      <c r="G11" s="32">
        <v>0</v>
      </c>
      <c r="H11" s="7"/>
    </row>
    <row r="12" spans="1:8" ht="36" customHeight="1">
      <c r="A12" s="9" t="s">
        <v>52</v>
      </c>
      <c r="B12" s="35" t="s">
        <v>60</v>
      </c>
      <c r="C12" s="48">
        <v>120</v>
      </c>
      <c r="D12" s="187"/>
      <c r="E12" s="187"/>
      <c r="F12" s="187"/>
      <c r="G12" s="15"/>
      <c r="H12" s="6"/>
    </row>
    <row r="13" spans="1:8" ht="21" customHeight="1">
      <c r="A13" s="9" t="s">
        <v>64</v>
      </c>
      <c r="B13" s="35" t="s">
        <v>61</v>
      </c>
      <c r="C13" s="48"/>
      <c r="D13" s="187"/>
      <c r="E13" s="187"/>
      <c r="F13" s="187"/>
      <c r="G13" s="64"/>
      <c r="H13" s="6"/>
    </row>
    <row r="14" spans="1:8" ht="41.25" customHeight="1">
      <c r="A14" s="9" t="s">
        <v>334</v>
      </c>
      <c r="B14" s="35" t="s">
        <v>62</v>
      </c>
      <c r="C14" s="46">
        <v>130</v>
      </c>
      <c r="D14" s="186">
        <f>D15+D16</f>
        <v>27714588.270000003</v>
      </c>
      <c r="E14" s="186">
        <f t="shared" ref="E14:G14" si="3">E15+E16</f>
        <v>26556848.670000002</v>
      </c>
      <c r="F14" s="186">
        <f t="shared" si="3"/>
        <v>26663413.670000002</v>
      </c>
      <c r="G14" s="32">
        <f t="shared" si="3"/>
        <v>0</v>
      </c>
      <c r="H14" s="7"/>
    </row>
    <row r="15" spans="1:8" ht="69.75" customHeight="1">
      <c r="A15" s="9" t="s">
        <v>53</v>
      </c>
      <c r="B15" s="35" t="s">
        <v>63</v>
      </c>
      <c r="C15" s="46">
        <v>130</v>
      </c>
      <c r="D15" s="188">
        <v>26117880.270000003</v>
      </c>
      <c r="E15" s="188">
        <v>24960140.670000002</v>
      </c>
      <c r="F15" s="188">
        <v>25066705.670000002</v>
      </c>
      <c r="G15" s="64"/>
      <c r="H15" s="7"/>
    </row>
    <row r="16" spans="1:8" s="50" customFormat="1" ht="57" customHeight="1">
      <c r="A16" s="51" t="s">
        <v>335</v>
      </c>
      <c r="B16" s="52" t="s">
        <v>336</v>
      </c>
      <c r="C16" s="55">
        <v>130</v>
      </c>
      <c r="D16" s="188">
        <v>1596708</v>
      </c>
      <c r="E16" s="188">
        <v>1596708</v>
      </c>
      <c r="F16" s="188">
        <v>1596708</v>
      </c>
      <c r="G16" s="55"/>
      <c r="H16" s="56"/>
    </row>
    <row r="17" spans="1:9" ht="36" customHeight="1">
      <c r="A17" s="9" t="s">
        <v>54</v>
      </c>
      <c r="B17" s="35" t="s">
        <v>65</v>
      </c>
      <c r="C17" s="46">
        <v>140</v>
      </c>
      <c r="D17" s="187"/>
      <c r="E17" s="187"/>
      <c r="F17" s="187"/>
      <c r="G17" s="15"/>
      <c r="H17" s="6"/>
    </row>
    <row r="18" spans="1:9" ht="20.25" customHeight="1">
      <c r="A18" s="9" t="s">
        <v>55</v>
      </c>
      <c r="B18" s="35" t="s">
        <v>66</v>
      </c>
      <c r="C18" s="48">
        <v>140</v>
      </c>
      <c r="D18" s="187"/>
      <c r="E18" s="187"/>
      <c r="F18" s="187"/>
      <c r="G18" s="64"/>
      <c r="H18" s="6"/>
    </row>
    <row r="19" spans="1:9" ht="20.25" customHeight="1">
      <c r="A19" s="9" t="s">
        <v>56</v>
      </c>
      <c r="B19" s="35" t="s">
        <v>67</v>
      </c>
      <c r="C19" s="46">
        <v>150</v>
      </c>
      <c r="D19" s="186">
        <f>SUM(D20:D21)</f>
        <v>3343795.55</v>
      </c>
      <c r="E19" s="186">
        <f t="shared" ref="E19:G19" si="4">SUM(E20:E21)</f>
        <v>2350546.96</v>
      </c>
      <c r="F19" s="186">
        <f t="shared" si="4"/>
        <v>2327172.31</v>
      </c>
      <c r="G19" s="32">
        <f t="shared" si="4"/>
        <v>0</v>
      </c>
      <c r="H19" s="6"/>
    </row>
    <row r="20" spans="1:9" ht="36" customHeight="1">
      <c r="A20" s="51" t="s">
        <v>68</v>
      </c>
      <c r="B20" s="35" t="s">
        <v>69</v>
      </c>
      <c r="C20" s="46">
        <v>150</v>
      </c>
      <c r="D20" s="188">
        <v>3343795.55</v>
      </c>
      <c r="E20" s="188">
        <v>2350546.96</v>
      </c>
      <c r="F20" s="188">
        <v>2327172.31</v>
      </c>
      <c r="G20" s="64"/>
      <c r="H20" s="6"/>
      <c r="I20" s="192">
        <f>D20-3349796.55</f>
        <v>-6001</v>
      </c>
    </row>
    <row r="21" spans="1:9" ht="36" customHeight="1">
      <c r="A21" s="9" t="s">
        <v>8</v>
      </c>
      <c r="B21" s="35" t="s">
        <v>70</v>
      </c>
      <c r="C21" s="46">
        <v>150</v>
      </c>
      <c r="D21" s="15"/>
      <c r="E21" s="15"/>
      <c r="F21" s="15"/>
      <c r="G21" s="64"/>
      <c r="H21" s="6"/>
    </row>
    <row r="22" spans="1:9" ht="20.25" hidden="1" customHeight="1">
      <c r="A22" s="9"/>
      <c r="B22" s="35"/>
      <c r="C22" s="64">
        <v>150</v>
      </c>
      <c r="D22" s="15"/>
      <c r="E22" s="15"/>
      <c r="F22" s="15"/>
      <c r="G22" s="64"/>
      <c r="H22" s="6"/>
    </row>
    <row r="23" spans="1:9" ht="20.25" hidden="1" customHeight="1">
      <c r="A23" s="9"/>
      <c r="B23" s="35"/>
      <c r="C23" s="64">
        <v>150</v>
      </c>
      <c r="D23" s="15"/>
      <c r="E23" s="15"/>
      <c r="F23" s="15"/>
      <c r="G23" s="64"/>
      <c r="H23" s="6"/>
    </row>
    <row r="24" spans="1:9" ht="18" customHeight="1">
      <c r="A24" s="9" t="s">
        <v>71</v>
      </c>
      <c r="B24" s="35" t="s">
        <v>72</v>
      </c>
      <c r="C24" s="46">
        <v>180</v>
      </c>
      <c r="D24" s="15"/>
      <c r="E24" s="15"/>
      <c r="F24" s="15"/>
      <c r="G24" s="15"/>
      <c r="H24" s="7"/>
    </row>
    <row r="25" spans="1:9" ht="18.75" customHeight="1">
      <c r="A25" s="9" t="s">
        <v>64</v>
      </c>
      <c r="B25" s="35" t="s">
        <v>73</v>
      </c>
      <c r="C25" s="48">
        <v>180</v>
      </c>
      <c r="D25" s="15"/>
      <c r="E25" s="15"/>
      <c r="F25" s="15"/>
      <c r="G25" s="64"/>
      <c r="H25" s="6"/>
    </row>
    <row r="26" spans="1:9" ht="19.5" customHeight="1">
      <c r="A26" s="9" t="s">
        <v>74</v>
      </c>
      <c r="B26" s="35" t="s">
        <v>75</v>
      </c>
      <c r="C26" s="46">
        <v>400</v>
      </c>
      <c r="D26" s="63">
        <f>D27</f>
        <v>0</v>
      </c>
      <c r="E26" s="15"/>
      <c r="F26" s="15"/>
      <c r="G26" s="15"/>
      <c r="H26" s="6"/>
    </row>
    <row r="27" spans="1:9" ht="37.5" customHeight="1">
      <c r="A27" s="9" t="s">
        <v>389</v>
      </c>
      <c r="B27" s="35" t="s">
        <v>76</v>
      </c>
      <c r="C27" s="48">
        <v>440</v>
      </c>
      <c r="D27" s="54"/>
      <c r="E27" s="15"/>
      <c r="F27" s="15"/>
      <c r="G27" s="64"/>
      <c r="H27" s="6"/>
    </row>
    <row r="28" spans="1:9" ht="18.75" customHeight="1">
      <c r="A28" s="9"/>
      <c r="B28" s="35" t="s">
        <v>77</v>
      </c>
      <c r="C28" s="48">
        <v>400</v>
      </c>
      <c r="D28" s="54"/>
      <c r="E28" s="15"/>
      <c r="F28" s="15"/>
      <c r="G28" s="64"/>
      <c r="H28" s="6"/>
    </row>
    <row r="29" spans="1:9" ht="18.75" customHeight="1">
      <c r="A29" s="9" t="s">
        <v>78</v>
      </c>
      <c r="B29" s="35" t="s">
        <v>79</v>
      </c>
      <c r="C29" s="116" t="s">
        <v>12</v>
      </c>
      <c r="D29" s="15"/>
      <c r="E29" s="15"/>
      <c r="F29" s="15"/>
      <c r="G29" s="15" t="str">
        <f t="shared" ref="G29" si="5">G30</f>
        <v>х</v>
      </c>
      <c r="H29" s="6"/>
    </row>
    <row r="30" spans="1:9" ht="66.75" customHeight="1">
      <c r="A30" s="9" t="s">
        <v>80</v>
      </c>
      <c r="B30" s="35" t="s">
        <v>81</v>
      </c>
      <c r="C30" s="48">
        <v>510</v>
      </c>
      <c r="D30" s="187"/>
      <c r="E30" s="187"/>
      <c r="F30" s="187"/>
      <c r="G30" s="64" t="s">
        <v>12</v>
      </c>
      <c r="H30" s="6"/>
    </row>
    <row r="31" spans="1:9" s="11" customFormat="1" ht="20.25" customHeight="1">
      <c r="A31" s="47" t="s">
        <v>82</v>
      </c>
      <c r="B31" s="35" t="s">
        <v>83</v>
      </c>
      <c r="C31" s="29" t="s">
        <v>12</v>
      </c>
      <c r="D31" s="186">
        <f>D33+D35+D36+D37+D42+D48+D59</f>
        <v>31111876.869999997</v>
      </c>
      <c r="E31" s="186">
        <f t="shared" ref="E31:F31" si="6">E33+E35+E36+E37+E42+E48+E59</f>
        <v>28907395.629999999</v>
      </c>
      <c r="F31" s="186">
        <f t="shared" si="6"/>
        <v>28990585.979999997</v>
      </c>
      <c r="G31" s="32"/>
      <c r="H31" s="14"/>
    </row>
    <row r="32" spans="1:9" ht="33" customHeight="1">
      <c r="A32" s="9" t="s">
        <v>84</v>
      </c>
      <c r="B32" s="35" t="s">
        <v>85</v>
      </c>
      <c r="C32" s="46" t="s">
        <v>12</v>
      </c>
      <c r="D32" s="187">
        <f>D33+D35+D36+D37</f>
        <v>24530267.669999998</v>
      </c>
      <c r="E32" s="187">
        <f t="shared" ref="E32:F32" si="7">E33+E35+E36+E37</f>
        <v>24530267.669999998</v>
      </c>
      <c r="F32" s="187">
        <f t="shared" si="7"/>
        <v>24530267.669999998</v>
      </c>
      <c r="G32" s="64" t="s">
        <v>12</v>
      </c>
      <c r="H32" s="7"/>
    </row>
    <row r="33" spans="1:9" ht="33" customHeight="1">
      <c r="A33" s="9" t="s">
        <v>86</v>
      </c>
      <c r="B33" s="35" t="s">
        <v>87</v>
      </c>
      <c r="C33" s="46">
        <v>111</v>
      </c>
      <c r="D33" s="187">
        <v>18840412.079999998</v>
      </c>
      <c r="E33" s="187">
        <v>18840412.079999998</v>
      </c>
      <c r="F33" s="187">
        <v>18840412.079999998</v>
      </c>
      <c r="G33" s="64" t="s">
        <v>12</v>
      </c>
      <c r="H33" s="7"/>
    </row>
    <row r="34" spans="1:9" ht="81" customHeight="1">
      <c r="A34" s="9" t="s">
        <v>392</v>
      </c>
      <c r="B34" s="35"/>
      <c r="C34" s="118">
        <v>111</v>
      </c>
      <c r="D34" s="187">
        <v>210197.32</v>
      </c>
      <c r="E34" s="187">
        <v>210197.33</v>
      </c>
      <c r="F34" s="187">
        <v>210197.33</v>
      </c>
      <c r="G34" s="118"/>
      <c r="H34" s="7"/>
    </row>
    <row r="35" spans="1:9" ht="38.25" customHeight="1">
      <c r="A35" s="39" t="s">
        <v>88</v>
      </c>
      <c r="B35" s="35" t="s">
        <v>89</v>
      </c>
      <c r="C35" s="46">
        <v>112</v>
      </c>
      <c r="D35" s="187">
        <v>0</v>
      </c>
      <c r="E35" s="187">
        <v>0</v>
      </c>
      <c r="F35" s="187">
        <v>0</v>
      </c>
      <c r="G35" s="64" t="s">
        <v>12</v>
      </c>
      <c r="H35" s="7"/>
    </row>
    <row r="36" spans="1:9" ht="47.25">
      <c r="A36" s="39" t="s">
        <v>90</v>
      </c>
      <c r="B36" s="38">
        <v>2130</v>
      </c>
      <c r="C36" s="40">
        <v>113</v>
      </c>
      <c r="D36" s="189">
        <v>0</v>
      </c>
      <c r="E36" s="189">
        <v>0</v>
      </c>
      <c r="F36" s="189">
        <v>0</v>
      </c>
      <c r="G36" s="64" t="s">
        <v>12</v>
      </c>
    </row>
    <row r="37" spans="1:9" ht="68.25" customHeight="1">
      <c r="A37" s="39" t="s">
        <v>91</v>
      </c>
      <c r="B37" s="35" t="s">
        <v>393</v>
      </c>
      <c r="C37" s="46" t="s">
        <v>13</v>
      </c>
      <c r="D37" s="186">
        <f>SUM(D38:D39)</f>
        <v>5689855.5899999999</v>
      </c>
      <c r="E37" s="186">
        <f t="shared" ref="E37:F37" si="8">SUM(E38:E39)</f>
        <v>5689855.5899999999</v>
      </c>
      <c r="F37" s="186">
        <f t="shared" si="8"/>
        <v>5689855.5899999999</v>
      </c>
      <c r="G37" s="64" t="s">
        <v>12</v>
      </c>
      <c r="H37" s="7"/>
    </row>
    <row r="38" spans="1:9" s="50" customFormat="1" ht="33" customHeight="1">
      <c r="A38" s="51" t="s">
        <v>92</v>
      </c>
      <c r="B38" s="52" t="s">
        <v>394</v>
      </c>
      <c r="C38" s="55">
        <v>119</v>
      </c>
      <c r="D38" s="188">
        <v>5689855.5899999999</v>
      </c>
      <c r="E38" s="188">
        <v>5689855.5899999999</v>
      </c>
      <c r="F38" s="188">
        <v>5689855.5899999999</v>
      </c>
      <c r="G38" s="55" t="s">
        <v>12</v>
      </c>
      <c r="H38" s="56"/>
    </row>
    <row r="39" spans="1:9" s="50" customFormat="1" ht="16.5" customHeight="1">
      <c r="A39" s="51" t="s">
        <v>93</v>
      </c>
      <c r="B39" s="52" t="s">
        <v>395</v>
      </c>
      <c r="C39" s="55">
        <v>119</v>
      </c>
      <c r="D39" s="188"/>
      <c r="E39" s="188"/>
      <c r="F39" s="188"/>
      <c r="G39" s="55"/>
      <c r="H39" s="56"/>
    </row>
    <row r="40" spans="1:9" s="50" customFormat="1" ht="77.45" customHeight="1">
      <c r="A40" s="51" t="s">
        <v>392</v>
      </c>
      <c r="B40" s="52"/>
      <c r="C40" s="119">
        <v>119</v>
      </c>
      <c r="D40" s="188">
        <v>63479.59</v>
      </c>
      <c r="E40" s="188">
        <v>202919.26</v>
      </c>
      <c r="F40" s="188">
        <v>202919.26</v>
      </c>
      <c r="G40" s="119"/>
      <c r="H40" s="56"/>
    </row>
    <row r="41" spans="1:9" s="50" customFormat="1" ht="62.25" customHeight="1">
      <c r="A41" s="51" t="s">
        <v>380</v>
      </c>
      <c r="B41" s="52" t="s">
        <v>396</v>
      </c>
      <c r="C41" s="107">
        <v>139</v>
      </c>
      <c r="D41" s="188"/>
      <c r="E41" s="188"/>
      <c r="F41" s="188"/>
      <c r="G41" s="107"/>
      <c r="H41" s="56"/>
    </row>
    <row r="42" spans="1:9" ht="18.75" customHeight="1">
      <c r="A42" s="9" t="s">
        <v>10</v>
      </c>
      <c r="B42" s="35" t="s">
        <v>94</v>
      </c>
      <c r="C42" s="46">
        <v>300</v>
      </c>
      <c r="D42" s="187"/>
      <c r="E42" s="187"/>
      <c r="F42" s="187"/>
      <c r="G42" s="64" t="s">
        <v>12</v>
      </c>
      <c r="H42" s="7"/>
    </row>
    <row r="43" spans="1:9" s="50" customFormat="1" ht="50.25" customHeight="1">
      <c r="A43" s="51" t="s">
        <v>95</v>
      </c>
      <c r="B43" s="52" t="s">
        <v>96</v>
      </c>
      <c r="C43" s="53" t="s">
        <v>97</v>
      </c>
      <c r="D43" s="188"/>
      <c r="E43" s="188"/>
      <c r="F43" s="188"/>
      <c r="G43" s="55" t="s">
        <v>12</v>
      </c>
      <c r="H43" s="56"/>
    </row>
    <row r="44" spans="1:9" s="50" customFormat="1" ht="68.25" customHeight="1">
      <c r="A44" s="51" t="s">
        <v>98</v>
      </c>
      <c r="B44" s="52" t="s">
        <v>99</v>
      </c>
      <c r="C44" s="53" t="s">
        <v>100</v>
      </c>
      <c r="D44" s="188"/>
      <c r="E44" s="188"/>
      <c r="F44" s="188"/>
      <c r="G44" s="55" t="s">
        <v>12</v>
      </c>
      <c r="H44" s="56"/>
    </row>
    <row r="45" spans="1:9" s="50" customFormat="1" ht="20.25" customHeight="1">
      <c r="A45" s="51" t="s">
        <v>266</v>
      </c>
      <c r="B45" s="52" t="s">
        <v>101</v>
      </c>
      <c r="C45" s="53" t="s">
        <v>102</v>
      </c>
      <c r="D45" s="188"/>
      <c r="E45" s="188"/>
      <c r="F45" s="188"/>
      <c r="G45" s="55" t="s">
        <v>12</v>
      </c>
      <c r="H45" s="56"/>
    </row>
    <row r="46" spans="1:9" s="50" customFormat="1" ht="84.75" customHeight="1">
      <c r="A46" s="51" t="s">
        <v>103</v>
      </c>
      <c r="B46" s="52" t="s">
        <v>104</v>
      </c>
      <c r="C46" s="55">
        <v>350</v>
      </c>
      <c r="D46" s="188"/>
      <c r="E46" s="188"/>
      <c r="F46" s="188"/>
      <c r="G46" s="55" t="s">
        <v>12</v>
      </c>
      <c r="H46" s="57"/>
      <c r="I46" s="58"/>
    </row>
    <row r="47" spans="1:9" s="50" customFormat="1" ht="21" customHeight="1">
      <c r="A47" s="51" t="s">
        <v>105</v>
      </c>
      <c r="B47" s="52" t="s">
        <v>106</v>
      </c>
      <c r="C47" s="55">
        <v>360</v>
      </c>
      <c r="D47" s="188"/>
      <c r="E47" s="188"/>
      <c r="F47" s="188"/>
      <c r="G47" s="55" t="s">
        <v>12</v>
      </c>
      <c r="H47" s="57"/>
      <c r="I47" s="58"/>
    </row>
    <row r="48" spans="1:9" ht="21" customHeight="1">
      <c r="A48" s="39" t="s">
        <v>107</v>
      </c>
      <c r="B48" s="35" t="s">
        <v>108</v>
      </c>
      <c r="C48" s="46">
        <v>850</v>
      </c>
      <c r="D48" s="186">
        <f>SUM(D49:D51)</f>
        <v>194800</v>
      </c>
      <c r="E48" s="186">
        <f t="shared" ref="E48:F48" si="9">SUM(E49:E51)</f>
        <v>0</v>
      </c>
      <c r="F48" s="186">
        <f t="shared" si="9"/>
        <v>0</v>
      </c>
      <c r="G48" s="64" t="s">
        <v>12</v>
      </c>
      <c r="H48" s="7"/>
    </row>
    <row r="49" spans="1:8" ht="47.25" customHeight="1">
      <c r="A49" s="9" t="s">
        <v>267</v>
      </c>
      <c r="B49" s="35" t="s">
        <v>109</v>
      </c>
      <c r="C49" s="46">
        <v>851</v>
      </c>
      <c r="D49" s="187">
        <v>194800</v>
      </c>
      <c r="E49" s="187">
        <v>0</v>
      </c>
      <c r="F49" s="187">
        <v>0</v>
      </c>
      <c r="G49" s="64" t="s">
        <v>12</v>
      </c>
      <c r="H49" s="7"/>
    </row>
    <row r="50" spans="1:8" ht="51.75" customHeight="1">
      <c r="A50" s="9" t="s">
        <v>110</v>
      </c>
      <c r="B50" s="35" t="s">
        <v>111</v>
      </c>
      <c r="C50" s="46">
        <v>852</v>
      </c>
      <c r="D50" s="15"/>
      <c r="E50" s="15"/>
      <c r="F50" s="15"/>
      <c r="G50" s="64" t="s">
        <v>12</v>
      </c>
      <c r="H50" s="7"/>
    </row>
    <row r="51" spans="1:8" ht="34.5" customHeight="1">
      <c r="A51" s="9" t="s">
        <v>112</v>
      </c>
      <c r="B51" s="35" t="s">
        <v>113</v>
      </c>
      <c r="C51" s="46">
        <v>853</v>
      </c>
      <c r="D51" s="15"/>
      <c r="E51" s="15"/>
      <c r="F51" s="15"/>
      <c r="G51" s="64" t="s">
        <v>12</v>
      </c>
      <c r="H51" s="7"/>
    </row>
    <row r="52" spans="1:8" s="50" customFormat="1" ht="31.5">
      <c r="A52" s="51" t="s">
        <v>114</v>
      </c>
      <c r="B52" s="52" t="s">
        <v>115</v>
      </c>
      <c r="C52" s="90" t="s">
        <v>12</v>
      </c>
      <c r="D52" s="54"/>
      <c r="E52" s="54"/>
      <c r="F52" s="54"/>
      <c r="G52" s="55" t="s">
        <v>12</v>
      </c>
      <c r="H52" s="56"/>
    </row>
    <row r="53" spans="1:8" s="50" customFormat="1" ht="47.25" customHeight="1">
      <c r="A53" s="51" t="s">
        <v>374</v>
      </c>
      <c r="B53" s="52" t="s">
        <v>116</v>
      </c>
      <c r="C53" s="90">
        <v>613</v>
      </c>
      <c r="D53" s="54"/>
      <c r="E53" s="54"/>
      <c r="F53" s="54"/>
      <c r="G53" s="55" t="s">
        <v>12</v>
      </c>
      <c r="H53" s="56"/>
    </row>
    <row r="54" spans="1:8" s="50" customFormat="1" ht="47.25" customHeight="1">
      <c r="A54" s="51" t="s">
        <v>375</v>
      </c>
      <c r="B54" s="52" t="s">
        <v>352</v>
      </c>
      <c r="C54" s="90">
        <v>623</v>
      </c>
      <c r="D54" s="54"/>
      <c r="E54" s="54"/>
      <c r="F54" s="54"/>
      <c r="G54" s="90"/>
      <c r="H54" s="56"/>
    </row>
    <row r="55" spans="1:8" s="50" customFormat="1" ht="66.75" customHeight="1">
      <c r="A55" s="59" t="s">
        <v>376</v>
      </c>
      <c r="B55" s="52" t="s">
        <v>377</v>
      </c>
      <c r="C55" s="108">
        <v>634</v>
      </c>
      <c r="D55" s="54"/>
      <c r="E55" s="54"/>
      <c r="F55" s="54"/>
      <c r="G55" s="108"/>
      <c r="H55" s="56"/>
    </row>
    <row r="56" spans="1:8" s="50" customFormat="1" ht="47.25" customHeight="1">
      <c r="A56" s="59" t="s">
        <v>378</v>
      </c>
      <c r="B56" s="52" t="s">
        <v>379</v>
      </c>
      <c r="C56" s="108">
        <v>810</v>
      </c>
      <c r="D56" s="54"/>
      <c r="E56" s="54"/>
      <c r="F56" s="54"/>
      <c r="G56" s="108" t="s">
        <v>12</v>
      </c>
      <c r="H56" s="56"/>
    </row>
    <row r="57" spans="1:8" ht="35.25" customHeight="1">
      <c r="A57" s="9" t="s">
        <v>117</v>
      </c>
      <c r="B57" s="35" t="s">
        <v>118</v>
      </c>
      <c r="C57" s="46" t="s">
        <v>12</v>
      </c>
      <c r="D57" s="15"/>
      <c r="E57" s="15"/>
      <c r="F57" s="15"/>
      <c r="G57" s="64" t="s">
        <v>12</v>
      </c>
      <c r="H57" s="7"/>
    </row>
    <row r="58" spans="1:8" ht="68.25" customHeight="1">
      <c r="A58" s="9" t="s">
        <v>119</v>
      </c>
      <c r="B58" s="35" t="s">
        <v>120</v>
      </c>
      <c r="C58" s="46">
        <v>831</v>
      </c>
      <c r="D58" s="15"/>
      <c r="E58" s="15"/>
      <c r="F58" s="15"/>
      <c r="G58" s="15" t="s">
        <v>12</v>
      </c>
      <c r="H58" s="7"/>
    </row>
    <row r="59" spans="1:8" ht="33" customHeight="1">
      <c r="A59" s="39" t="s">
        <v>121</v>
      </c>
      <c r="B59" s="35" t="s">
        <v>122</v>
      </c>
      <c r="C59" s="46" t="s">
        <v>12</v>
      </c>
      <c r="D59" s="186">
        <f>SUM(D60:D64)</f>
        <v>6386809.2000000002</v>
      </c>
      <c r="E59" s="186">
        <f>SUM(E60:E64)</f>
        <v>4377127.96</v>
      </c>
      <c r="F59" s="186">
        <f>SUM(F60:F64)</f>
        <v>4460318.3100000005</v>
      </c>
      <c r="G59" s="32">
        <f t="shared" ref="G59" si="10">SUM(G60:G64)</f>
        <v>0</v>
      </c>
      <c r="H59" s="7"/>
    </row>
    <row r="60" spans="1:8" s="50" customFormat="1" ht="47.25">
      <c r="A60" s="59" t="s">
        <v>123</v>
      </c>
      <c r="B60" s="60">
        <v>2610</v>
      </c>
      <c r="C60" s="61">
        <v>241</v>
      </c>
      <c r="D60" s="190"/>
      <c r="E60" s="190"/>
      <c r="F60" s="190"/>
      <c r="G60" s="61"/>
    </row>
    <row r="61" spans="1:8" ht="38.25" customHeight="1">
      <c r="A61" s="39" t="s">
        <v>124</v>
      </c>
      <c r="B61" s="38">
        <v>2630</v>
      </c>
      <c r="C61" s="40">
        <v>243</v>
      </c>
      <c r="D61" s="189"/>
      <c r="E61" s="189"/>
      <c r="F61" s="189"/>
      <c r="G61" s="40"/>
    </row>
    <row r="62" spans="1:8" ht="22.5" customHeight="1">
      <c r="A62" s="39" t="s">
        <v>125</v>
      </c>
      <c r="B62" s="38">
        <v>2640</v>
      </c>
      <c r="C62" s="40">
        <v>244</v>
      </c>
      <c r="D62" s="190">
        <v>5015054.5</v>
      </c>
      <c r="E62" s="190">
        <v>3824946.96</v>
      </c>
      <c r="F62" s="190">
        <v>3801572.31</v>
      </c>
      <c r="G62" s="68">
        <v>0</v>
      </c>
    </row>
    <row r="63" spans="1:8" ht="18.75" hidden="1" customHeight="1">
      <c r="A63" s="9" t="s">
        <v>126</v>
      </c>
      <c r="B63" s="35"/>
      <c r="C63" s="37"/>
      <c r="D63" s="191"/>
      <c r="E63" s="191"/>
      <c r="F63" s="191"/>
      <c r="G63" s="64"/>
      <c r="H63" s="6"/>
    </row>
    <row r="64" spans="1:8" ht="18.75" customHeight="1">
      <c r="A64" s="9" t="s">
        <v>372</v>
      </c>
      <c r="B64" s="35" t="s">
        <v>373</v>
      </c>
      <c r="C64" s="106">
        <v>247</v>
      </c>
      <c r="D64" s="187">
        <v>1371754.7</v>
      </c>
      <c r="E64" s="187">
        <v>552181</v>
      </c>
      <c r="F64" s="187">
        <v>658746</v>
      </c>
      <c r="G64" s="64"/>
      <c r="H64" s="6"/>
    </row>
    <row r="65" spans="1:8" ht="38.25" customHeight="1">
      <c r="A65" s="39" t="s">
        <v>127</v>
      </c>
      <c r="B65" s="38">
        <v>2660</v>
      </c>
      <c r="C65" s="40">
        <v>400</v>
      </c>
      <c r="D65" s="43"/>
      <c r="E65" s="43"/>
      <c r="F65" s="43"/>
      <c r="G65" s="43"/>
    </row>
    <row r="66" spans="1:8" ht="49.5" customHeight="1">
      <c r="A66" s="39" t="s">
        <v>128</v>
      </c>
      <c r="B66" s="38">
        <v>2661</v>
      </c>
      <c r="C66" s="40">
        <v>406</v>
      </c>
      <c r="D66" s="43"/>
      <c r="E66" s="43"/>
      <c r="F66" s="43"/>
      <c r="G66" s="40"/>
    </row>
    <row r="67" spans="1:8" ht="49.5" customHeight="1">
      <c r="A67" s="39" t="s">
        <v>129</v>
      </c>
      <c r="B67" s="38">
        <v>2662</v>
      </c>
      <c r="C67" s="40">
        <v>407</v>
      </c>
      <c r="D67" s="43"/>
      <c r="E67" s="43"/>
      <c r="F67" s="43"/>
      <c r="G67" s="40"/>
    </row>
    <row r="68" spans="1:8" ht="19.5" customHeight="1">
      <c r="A68" s="41" t="s">
        <v>130</v>
      </c>
      <c r="B68" s="38">
        <v>3000</v>
      </c>
      <c r="C68" s="42" t="s">
        <v>12</v>
      </c>
      <c r="D68" s="44"/>
      <c r="E68" s="44"/>
      <c r="F68" s="44"/>
      <c r="G68" s="42" t="s">
        <v>12</v>
      </c>
    </row>
    <row r="69" spans="1:8" ht="31.5">
      <c r="A69" s="39" t="s">
        <v>131</v>
      </c>
      <c r="B69" s="38">
        <v>3010</v>
      </c>
      <c r="C69" s="40"/>
      <c r="D69" s="43"/>
      <c r="E69" s="43"/>
      <c r="F69" s="43"/>
      <c r="G69" s="40" t="s">
        <v>12</v>
      </c>
    </row>
    <row r="70" spans="1:8" ht="20.25" customHeight="1">
      <c r="A70" s="39" t="s">
        <v>132</v>
      </c>
      <c r="B70" s="38">
        <v>3020</v>
      </c>
      <c r="C70" s="40"/>
      <c r="D70" s="43"/>
      <c r="E70" s="43"/>
      <c r="F70" s="43"/>
      <c r="G70" s="40" t="s">
        <v>12</v>
      </c>
    </row>
    <row r="71" spans="1:8" ht="17.25" customHeight="1">
      <c r="A71" s="39" t="s">
        <v>133</v>
      </c>
      <c r="B71" s="38">
        <v>3030</v>
      </c>
      <c r="C71" s="40"/>
      <c r="D71" s="43"/>
      <c r="E71" s="43"/>
      <c r="F71" s="43"/>
      <c r="G71" s="40" t="s">
        <v>12</v>
      </c>
    </row>
    <row r="72" spans="1:8" ht="19.5" customHeight="1">
      <c r="A72" s="41" t="s">
        <v>134</v>
      </c>
      <c r="B72" s="38">
        <v>4000</v>
      </c>
      <c r="C72" s="42" t="s">
        <v>12</v>
      </c>
      <c r="D72" s="44"/>
      <c r="E72" s="44"/>
      <c r="F72" s="44"/>
      <c r="G72" s="42" t="s">
        <v>12</v>
      </c>
    </row>
    <row r="73" spans="1:8" ht="35.25" customHeight="1">
      <c r="A73" s="9" t="s">
        <v>135</v>
      </c>
      <c r="B73" s="35" t="s">
        <v>136</v>
      </c>
      <c r="C73" s="46">
        <v>610</v>
      </c>
      <c r="D73" s="15"/>
      <c r="E73" s="15"/>
      <c r="F73" s="15"/>
      <c r="G73" s="64" t="s">
        <v>12</v>
      </c>
      <c r="H73" s="7"/>
    </row>
    <row r="74" spans="1:8" ht="15.75">
      <c r="A74" s="62"/>
      <c r="B74" s="37"/>
      <c r="C74" s="37"/>
      <c r="D74" s="69"/>
      <c r="E74" s="69"/>
      <c r="F74" s="69"/>
      <c r="G74" s="67"/>
    </row>
    <row r="75" spans="1:8" ht="15.75">
      <c r="A75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  <rowBreaks count="2" manualBreakCount="2">
    <brk id="49" max="6" man="1"/>
    <brk id="60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9"/>
  <sheetViews>
    <sheetView view="pageBreakPreview" zoomScale="60" zoomScaleNormal="80" workbookViewId="0">
      <selection activeCell="H20" sqref="H20"/>
    </sheetView>
  </sheetViews>
  <sheetFormatPr defaultRowHeight="15"/>
  <cols>
    <col min="1" max="1" width="6.5703125" customWidth="1"/>
    <col min="2" max="2" width="48.28515625" customWidth="1"/>
    <col min="4" max="4" width="12.28515625" customWidth="1"/>
    <col min="5" max="5" width="13.42578125" customWidth="1"/>
    <col min="6" max="6" width="15.85546875" customWidth="1"/>
    <col min="7" max="7" width="15.140625" customWidth="1"/>
    <col min="8" max="8" width="16" customWidth="1"/>
    <col min="9" max="9" width="0.7109375" customWidth="1"/>
    <col min="10" max="10" width="12" bestFit="1" customWidth="1"/>
  </cols>
  <sheetData>
    <row r="1" spans="1:10">
      <c r="F1" t="b">
        <f>F8=F16+F19+F25</f>
        <v>1</v>
      </c>
      <c r="G1" t="b">
        <f>G8=G16+G19+G25</f>
        <v>1</v>
      </c>
      <c r="H1" t="b">
        <f>H8=H16+H19+H25</f>
        <v>1</v>
      </c>
    </row>
    <row r="3" spans="1:10" ht="15.75">
      <c r="B3" s="194" t="s">
        <v>137</v>
      </c>
      <c r="C3" s="194"/>
      <c r="D3" s="194"/>
      <c r="E3" s="194"/>
      <c r="F3" s="194"/>
      <c r="G3" s="194"/>
      <c r="H3" s="194"/>
      <c r="I3" s="194"/>
    </row>
    <row r="4" spans="1:10" ht="15.75">
      <c r="B4" s="26"/>
    </row>
    <row r="5" spans="1:10" ht="19.5" customHeight="1">
      <c r="A5" s="213" t="s">
        <v>138</v>
      </c>
      <c r="B5" s="213" t="s">
        <v>3</v>
      </c>
      <c r="C5" s="203" t="s">
        <v>5</v>
      </c>
      <c r="D5" s="203" t="s">
        <v>11</v>
      </c>
      <c r="E5" s="212" t="s">
        <v>353</v>
      </c>
      <c r="F5" s="215" t="s">
        <v>47</v>
      </c>
      <c r="G5" s="216"/>
      <c r="H5" s="216"/>
      <c r="I5" s="216"/>
      <c r="J5" s="17"/>
    </row>
    <row r="6" spans="1:10" ht="64.5" customHeight="1">
      <c r="A6" s="214"/>
      <c r="B6" s="214"/>
      <c r="C6" s="203"/>
      <c r="D6" s="203"/>
      <c r="E6" s="212"/>
      <c r="F6" s="15" t="s">
        <v>430</v>
      </c>
      <c r="G6" s="15" t="s">
        <v>431</v>
      </c>
      <c r="H6" s="15" t="s">
        <v>432</v>
      </c>
      <c r="I6" s="27" t="s">
        <v>48</v>
      </c>
      <c r="J6" s="17"/>
    </row>
    <row r="7" spans="1:10" ht="15.75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7</v>
      </c>
      <c r="I7" s="33">
        <v>9</v>
      </c>
      <c r="J7" s="17"/>
    </row>
    <row r="8" spans="1:10" ht="31.5">
      <c r="A8" s="38">
        <v>1</v>
      </c>
      <c r="B8" s="34" t="s">
        <v>139</v>
      </c>
      <c r="C8" s="35" t="s">
        <v>140</v>
      </c>
      <c r="D8" s="8" t="s">
        <v>12</v>
      </c>
      <c r="E8" s="97"/>
      <c r="F8" s="15">
        <f>'Раздел 1'!D59</f>
        <v>6386809.2000000002</v>
      </c>
      <c r="G8" s="15">
        <f>'Раздел 1'!E59</f>
        <v>4377127.96</v>
      </c>
      <c r="H8" s="15">
        <f>'Раздел 1'!F59</f>
        <v>4460318.3100000005</v>
      </c>
      <c r="I8" s="49">
        <f>'Раздел 1'!G62</f>
        <v>0</v>
      </c>
      <c r="J8" s="17"/>
    </row>
    <row r="9" spans="1:10" ht="196.5" customHeight="1">
      <c r="A9" s="38" t="s">
        <v>27</v>
      </c>
      <c r="B9" s="34" t="s">
        <v>141</v>
      </c>
      <c r="C9" s="35" t="s">
        <v>142</v>
      </c>
      <c r="D9" s="8" t="s">
        <v>12</v>
      </c>
      <c r="E9" s="88"/>
      <c r="F9" s="33"/>
      <c r="G9" s="33"/>
      <c r="H9" s="33"/>
      <c r="I9" s="33"/>
      <c r="J9" s="17"/>
    </row>
    <row r="10" spans="1:10" ht="70.5" customHeight="1">
      <c r="A10" s="38" t="s">
        <v>28</v>
      </c>
      <c r="B10" s="31" t="s">
        <v>143</v>
      </c>
      <c r="C10" s="35" t="s">
        <v>144</v>
      </c>
      <c r="D10" s="8" t="s">
        <v>12</v>
      </c>
      <c r="E10" s="88"/>
      <c r="F10" s="15"/>
      <c r="G10" s="15"/>
      <c r="H10" s="15"/>
      <c r="I10" s="15"/>
      <c r="J10" s="7"/>
    </row>
    <row r="11" spans="1:10" ht="61.5" customHeight="1">
      <c r="A11" s="38" t="s">
        <v>29</v>
      </c>
      <c r="B11" s="31" t="s">
        <v>145</v>
      </c>
      <c r="C11" s="36" t="s">
        <v>146</v>
      </c>
      <c r="D11" s="30" t="s">
        <v>12</v>
      </c>
      <c r="E11" s="88"/>
      <c r="F11" s="28">
        <v>0</v>
      </c>
      <c r="G11" s="28">
        <v>0</v>
      </c>
      <c r="H11" s="28">
        <v>0</v>
      </c>
      <c r="I11" s="28"/>
      <c r="J11" s="6"/>
    </row>
    <row r="12" spans="1:10" ht="30.75" customHeight="1">
      <c r="A12" s="38" t="s">
        <v>354</v>
      </c>
      <c r="B12" s="31" t="s">
        <v>355</v>
      </c>
      <c r="C12" s="36" t="s">
        <v>356</v>
      </c>
      <c r="D12" s="30" t="s">
        <v>12</v>
      </c>
      <c r="E12" s="96"/>
      <c r="F12" s="28"/>
      <c r="G12" s="28"/>
      <c r="H12" s="28"/>
      <c r="I12" s="28"/>
      <c r="J12" s="6"/>
    </row>
    <row r="13" spans="1:10" ht="32.25" customHeight="1">
      <c r="A13" s="38"/>
      <c r="B13" s="31" t="s">
        <v>357</v>
      </c>
      <c r="C13" s="36" t="s">
        <v>358</v>
      </c>
      <c r="D13" s="30" t="s">
        <v>12</v>
      </c>
      <c r="E13" s="96"/>
      <c r="F13" s="28"/>
      <c r="G13" s="28"/>
      <c r="H13" s="28"/>
      <c r="I13" s="28"/>
      <c r="J13" s="6"/>
    </row>
    <row r="14" spans="1:10" ht="27.75" customHeight="1">
      <c r="A14" s="38" t="s">
        <v>359</v>
      </c>
      <c r="B14" s="31" t="s">
        <v>360</v>
      </c>
      <c r="C14" s="36" t="s">
        <v>361</v>
      </c>
      <c r="D14" s="30" t="s">
        <v>12</v>
      </c>
      <c r="E14" s="96"/>
      <c r="F14" s="28"/>
      <c r="G14" s="28"/>
      <c r="H14" s="28"/>
      <c r="I14" s="28"/>
      <c r="J14" s="6"/>
    </row>
    <row r="15" spans="1:10" ht="63" customHeight="1">
      <c r="A15" s="38" t="s">
        <v>147</v>
      </c>
      <c r="B15" s="31" t="s">
        <v>148</v>
      </c>
      <c r="C15" s="36" t="s">
        <v>149</v>
      </c>
      <c r="D15" s="30" t="s">
        <v>12</v>
      </c>
      <c r="E15" s="96"/>
      <c r="F15" s="28">
        <f>F8-F11</f>
        <v>6386809.2000000002</v>
      </c>
      <c r="G15" s="28">
        <f>G8-G11</f>
        <v>4377127.96</v>
      </c>
      <c r="H15" s="28">
        <f>H8-H11</f>
        <v>4460318.3100000005</v>
      </c>
      <c r="I15" s="27"/>
      <c r="J15" s="6"/>
    </row>
    <row r="16" spans="1:10" ht="63.75" customHeight="1">
      <c r="A16" s="38" t="s">
        <v>150</v>
      </c>
      <c r="B16" s="31" t="s">
        <v>151</v>
      </c>
      <c r="C16" s="35" t="s">
        <v>152</v>
      </c>
      <c r="D16" s="8" t="s">
        <v>12</v>
      </c>
      <c r="E16" s="96"/>
      <c r="F16" s="15">
        <f>1515120.6</f>
        <v>1515120.6</v>
      </c>
      <c r="G16" s="15">
        <v>552181</v>
      </c>
      <c r="H16" s="15">
        <v>658746</v>
      </c>
      <c r="I16" s="15"/>
      <c r="J16" s="7"/>
    </row>
    <row r="17" spans="1:10" ht="35.25" customHeight="1">
      <c r="A17" s="38" t="s">
        <v>153</v>
      </c>
      <c r="B17" s="31" t="s">
        <v>154</v>
      </c>
      <c r="C17" s="35" t="s">
        <v>155</v>
      </c>
      <c r="D17" s="8" t="s">
        <v>12</v>
      </c>
      <c r="E17" s="96"/>
      <c r="F17" s="8"/>
      <c r="G17" s="8"/>
      <c r="H17" s="8"/>
      <c r="I17" s="8"/>
      <c r="J17" s="7"/>
    </row>
    <row r="18" spans="1:10" ht="21" customHeight="1">
      <c r="A18" s="38" t="s">
        <v>156</v>
      </c>
      <c r="B18" s="31" t="s">
        <v>157</v>
      </c>
      <c r="C18" s="35" t="s">
        <v>158</v>
      </c>
      <c r="D18" s="8" t="s">
        <v>12</v>
      </c>
      <c r="E18" s="96"/>
      <c r="F18" s="15"/>
      <c r="G18" s="15"/>
      <c r="H18" s="15"/>
      <c r="I18" s="15"/>
      <c r="J18" s="6"/>
    </row>
    <row r="19" spans="1:10" ht="48.75" customHeight="1">
      <c r="A19" s="38" t="s">
        <v>159</v>
      </c>
      <c r="B19" s="31" t="s">
        <v>160</v>
      </c>
      <c r="C19" s="36" t="s">
        <v>161</v>
      </c>
      <c r="D19" s="30" t="s">
        <v>12</v>
      </c>
      <c r="E19" s="96"/>
      <c r="F19" s="28">
        <f>3343795.55</f>
        <v>3343795.55</v>
      </c>
      <c r="G19" s="28">
        <v>2350546.96</v>
      </c>
      <c r="H19" s="28">
        <f>2327177-4.69</f>
        <v>2327172.31</v>
      </c>
      <c r="I19" s="27"/>
      <c r="J19" s="6"/>
    </row>
    <row r="20" spans="1:10" ht="33.75" customHeight="1">
      <c r="A20" s="38" t="s">
        <v>162</v>
      </c>
      <c r="B20" s="31" t="s">
        <v>154</v>
      </c>
      <c r="C20" s="35" t="s">
        <v>163</v>
      </c>
      <c r="D20" s="8" t="s">
        <v>12</v>
      </c>
      <c r="E20" s="88"/>
      <c r="F20" s="15"/>
      <c r="G20" s="15"/>
      <c r="H20" s="15"/>
      <c r="I20" s="15"/>
      <c r="J20" s="6"/>
    </row>
    <row r="21" spans="1:10" ht="33.75" customHeight="1">
      <c r="A21" s="38"/>
      <c r="B21" s="31" t="s">
        <v>357</v>
      </c>
      <c r="C21" s="35" t="s">
        <v>362</v>
      </c>
      <c r="D21" s="88" t="s">
        <v>12</v>
      </c>
      <c r="E21" s="88"/>
      <c r="F21" s="15"/>
      <c r="G21" s="15"/>
      <c r="H21" s="15"/>
      <c r="I21" s="15"/>
      <c r="J21" s="6"/>
    </row>
    <row r="22" spans="1:10" ht="21" customHeight="1">
      <c r="A22" s="38" t="s">
        <v>164</v>
      </c>
      <c r="B22" s="31" t="s">
        <v>165</v>
      </c>
      <c r="C22" s="35" t="s">
        <v>166</v>
      </c>
      <c r="D22" s="8" t="s">
        <v>12</v>
      </c>
      <c r="E22" s="88"/>
      <c r="F22" s="8"/>
      <c r="G22" s="8"/>
      <c r="H22" s="8"/>
      <c r="I22" s="8"/>
      <c r="J22" s="6"/>
    </row>
    <row r="23" spans="1:10" ht="36" customHeight="1">
      <c r="A23" s="38" t="s">
        <v>167</v>
      </c>
      <c r="B23" s="31" t="s">
        <v>168</v>
      </c>
      <c r="C23" s="35" t="s">
        <v>169</v>
      </c>
      <c r="D23" s="8" t="s">
        <v>12</v>
      </c>
      <c r="E23" s="88"/>
      <c r="F23" s="8"/>
      <c r="G23" s="8"/>
      <c r="H23" s="8"/>
      <c r="I23" s="8"/>
      <c r="J23" s="6"/>
    </row>
    <row r="24" spans="1:10" ht="36" customHeight="1">
      <c r="A24" s="38"/>
      <c r="B24" s="31" t="s">
        <v>357</v>
      </c>
      <c r="C24" s="35" t="s">
        <v>363</v>
      </c>
      <c r="D24" s="88" t="s">
        <v>12</v>
      </c>
      <c r="E24" s="88"/>
      <c r="F24" s="88"/>
      <c r="G24" s="88"/>
      <c r="H24" s="88"/>
      <c r="I24" s="88"/>
      <c r="J24" s="6"/>
    </row>
    <row r="25" spans="1:10" ht="31.5" customHeight="1">
      <c r="A25" s="38" t="s">
        <v>170</v>
      </c>
      <c r="B25" s="31" t="s">
        <v>171</v>
      </c>
      <c r="C25" s="35" t="s">
        <v>172</v>
      </c>
      <c r="D25" s="8" t="s">
        <v>12</v>
      </c>
      <c r="E25" s="96"/>
      <c r="F25" s="15">
        <v>1527893.05</v>
      </c>
      <c r="G25" s="15">
        <v>1474400</v>
      </c>
      <c r="H25" s="15">
        <v>1474400</v>
      </c>
      <c r="I25" s="15"/>
      <c r="J25" s="7"/>
    </row>
    <row r="26" spans="1:10" ht="32.25" customHeight="1">
      <c r="A26" s="38" t="s">
        <v>173</v>
      </c>
      <c r="B26" s="31" t="s">
        <v>154</v>
      </c>
      <c r="C26" s="36" t="s">
        <v>174</v>
      </c>
      <c r="D26" s="30" t="s">
        <v>12</v>
      </c>
      <c r="E26" s="88"/>
      <c r="F26" s="27"/>
      <c r="G26" s="27"/>
      <c r="H26" s="27"/>
      <c r="I26" s="27"/>
      <c r="J26" s="6"/>
    </row>
    <row r="27" spans="1:10" ht="32.25" customHeight="1">
      <c r="A27" s="38"/>
      <c r="B27" s="31" t="s">
        <v>357</v>
      </c>
      <c r="C27" s="36" t="s">
        <v>364</v>
      </c>
      <c r="D27" s="30" t="s">
        <v>12</v>
      </c>
      <c r="E27" s="96"/>
      <c r="F27" s="89"/>
      <c r="G27" s="89"/>
      <c r="H27" s="89"/>
      <c r="I27" s="89"/>
      <c r="J27" s="6"/>
    </row>
    <row r="28" spans="1:10" ht="19.5" customHeight="1">
      <c r="A28" s="38" t="s">
        <v>175</v>
      </c>
      <c r="B28" s="31" t="s">
        <v>157</v>
      </c>
      <c r="C28" s="35" t="s">
        <v>176</v>
      </c>
      <c r="D28" s="8" t="s">
        <v>12</v>
      </c>
      <c r="E28" s="88"/>
      <c r="F28" s="15"/>
      <c r="G28" s="15"/>
      <c r="H28" s="15"/>
      <c r="I28" s="15"/>
      <c r="J28" s="6"/>
    </row>
    <row r="29" spans="1:10" ht="69" customHeight="1">
      <c r="A29" s="38" t="s">
        <v>177</v>
      </c>
      <c r="B29" s="31" t="s">
        <v>178</v>
      </c>
      <c r="C29" s="36" t="s">
        <v>179</v>
      </c>
      <c r="D29" s="30" t="s">
        <v>12</v>
      </c>
      <c r="E29" s="88"/>
      <c r="F29" s="28">
        <f>F15</f>
        <v>6386809.2000000002</v>
      </c>
      <c r="G29" s="28">
        <f t="shared" ref="G29:H29" si="0">G15</f>
        <v>4377127.96</v>
      </c>
      <c r="H29" s="28">
        <f t="shared" si="0"/>
        <v>4460318.3100000005</v>
      </c>
      <c r="I29" s="27"/>
      <c r="J29" s="6"/>
    </row>
    <row r="30" spans="1:10" ht="18.75" customHeight="1">
      <c r="A30" s="38"/>
      <c r="B30" s="27" t="s">
        <v>180</v>
      </c>
      <c r="C30" s="36" t="s">
        <v>181</v>
      </c>
      <c r="D30" s="30"/>
      <c r="E30" s="88"/>
      <c r="F30" s="27"/>
      <c r="G30" s="27"/>
      <c r="H30" s="27"/>
      <c r="I30" s="27"/>
      <c r="J30" s="6"/>
    </row>
    <row r="31" spans="1:10" ht="72" customHeight="1">
      <c r="A31" s="38" t="s">
        <v>182</v>
      </c>
      <c r="B31" s="31" t="s">
        <v>183</v>
      </c>
      <c r="C31" s="36" t="s">
        <v>184</v>
      </c>
      <c r="D31" s="30" t="s">
        <v>12</v>
      </c>
      <c r="E31" s="88"/>
      <c r="F31" s="28">
        <v>0</v>
      </c>
      <c r="G31" s="28">
        <v>0</v>
      </c>
      <c r="H31" s="28">
        <v>0</v>
      </c>
      <c r="I31" s="28"/>
      <c r="J31" s="6"/>
    </row>
    <row r="32" spans="1:10" ht="20.25" customHeight="1">
      <c r="A32" s="38"/>
      <c r="B32" s="27" t="s">
        <v>180</v>
      </c>
      <c r="C32" s="36" t="s">
        <v>185</v>
      </c>
      <c r="D32" s="30"/>
      <c r="E32" s="104"/>
      <c r="F32" s="27"/>
      <c r="G32" s="27"/>
      <c r="H32" s="27"/>
      <c r="I32" s="8"/>
      <c r="J32" s="6"/>
    </row>
    <row r="33" spans="1:9" ht="15.75">
      <c r="A33" s="2"/>
      <c r="B33" s="5"/>
      <c r="C33" s="2"/>
      <c r="D33" s="2"/>
      <c r="E33" s="83"/>
      <c r="F33" s="2"/>
      <c r="G33" s="2"/>
      <c r="H33" s="2"/>
      <c r="I33" s="2"/>
    </row>
    <row r="34" spans="1:9" ht="15.75">
      <c r="A34" s="2"/>
      <c r="B34" s="5"/>
      <c r="C34" s="2"/>
      <c r="D34" s="2"/>
      <c r="E34" s="83"/>
      <c r="F34" s="2"/>
      <c r="G34" s="2"/>
      <c r="H34" s="2"/>
      <c r="I34" s="2"/>
    </row>
    <row r="35" spans="1:9" ht="15.75">
      <c r="A35" s="2"/>
      <c r="B35" s="2" t="s">
        <v>186</v>
      </c>
      <c r="C35" s="210" t="s">
        <v>342</v>
      </c>
      <c r="D35" s="210"/>
      <c r="E35" s="105"/>
      <c r="F35" s="2"/>
      <c r="G35" s="2"/>
      <c r="H35" s="2"/>
      <c r="I35" s="2"/>
    </row>
    <row r="36" spans="1:9" ht="12.75" customHeight="1">
      <c r="A36" s="2"/>
      <c r="B36" s="209" t="s">
        <v>187</v>
      </c>
      <c r="C36" s="209"/>
      <c r="D36" s="209"/>
      <c r="E36" s="96"/>
      <c r="F36" s="2"/>
      <c r="G36" s="2"/>
      <c r="H36" s="2"/>
      <c r="I36" s="2"/>
    </row>
    <row r="37" spans="1:9" ht="15.75">
      <c r="A37" s="2"/>
      <c r="B37" s="2"/>
      <c r="C37" s="2"/>
      <c r="D37" s="2"/>
      <c r="E37" s="96"/>
      <c r="F37" s="2"/>
      <c r="G37" s="2"/>
      <c r="H37" s="2"/>
      <c r="I37" s="2"/>
    </row>
    <row r="38" spans="1:9" s="134" customFormat="1" ht="15.75">
      <c r="A38" s="133"/>
      <c r="B38" s="133" t="s">
        <v>402</v>
      </c>
      <c r="F38" s="135" t="s">
        <v>420</v>
      </c>
      <c r="G38" s="135"/>
      <c r="H38" s="133"/>
      <c r="I38" s="133"/>
    </row>
    <row r="39" spans="1:9" s="134" customFormat="1" ht="15.75" customHeight="1">
      <c r="A39" s="133"/>
      <c r="B39" s="211" t="s">
        <v>403</v>
      </c>
      <c r="C39" s="211"/>
      <c r="D39" s="211"/>
      <c r="E39" s="211"/>
      <c r="F39" s="211"/>
      <c r="G39" s="211"/>
      <c r="H39" s="133"/>
      <c r="I39" s="133"/>
    </row>
    <row r="40" spans="1:9" s="134" customFormat="1" ht="15.75">
      <c r="A40" s="133"/>
      <c r="B40" s="133"/>
      <c r="C40" s="133"/>
      <c r="D40" s="133"/>
      <c r="E40" s="133"/>
      <c r="F40" s="133"/>
      <c r="G40" s="133"/>
      <c r="H40" s="133"/>
      <c r="I40" s="133"/>
    </row>
    <row r="41" spans="1:9" s="134" customFormat="1" ht="15.75">
      <c r="A41" s="133"/>
      <c r="B41" s="133" t="s">
        <v>404</v>
      </c>
      <c r="C41" s="133"/>
      <c r="D41" s="133"/>
      <c r="E41" s="133"/>
      <c r="F41" s="133"/>
      <c r="G41" s="133"/>
      <c r="H41" s="133"/>
      <c r="I41" s="133"/>
    </row>
    <row r="42" spans="1:9" s="134" customFormat="1" ht="15.75">
      <c r="A42" s="133"/>
      <c r="B42" s="133"/>
      <c r="C42" s="133"/>
      <c r="D42" s="133"/>
      <c r="E42" s="133"/>
      <c r="F42" s="133"/>
      <c r="G42" s="133"/>
      <c r="H42" s="133"/>
      <c r="I42" s="133"/>
    </row>
    <row r="43" spans="1:9" ht="15.75">
      <c r="A43" s="2"/>
      <c r="B43" s="204" t="s">
        <v>188</v>
      </c>
      <c r="C43" s="204"/>
      <c r="D43" s="204"/>
      <c r="E43" s="204"/>
      <c r="F43" s="204"/>
      <c r="G43" s="2"/>
      <c r="H43" s="2"/>
      <c r="I43" s="2"/>
    </row>
    <row r="44" spans="1:9" s="136" customFormat="1" ht="35.25" customHeight="1">
      <c r="A44" s="18"/>
      <c r="B44" s="205" t="s">
        <v>419</v>
      </c>
      <c r="C44" s="205"/>
      <c r="D44" s="205"/>
      <c r="E44" s="205"/>
      <c r="F44" s="205"/>
      <c r="G44" s="18"/>
      <c r="H44" s="18"/>
      <c r="I44" s="18"/>
    </row>
    <row r="45" spans="1:9" ht="15.75">
      <c r="A45" s="2"/>
      <c r="B45" s="206" t="s">
        <v>189</v>
      </c>
      <c r="C45" s="206"/>
      <c r="D45" s="206"/>
      <c r="E45" s="206"/>
      <c r="F45" s="206"/>
      <c r="G45" s="2"/>
      <c r="H45" s="2"/>
      <c r="I45" s="2"/>
    </row>
    <row r="46" spans="1:9" ht="15.75">
      <c r="A46" s="2"/>
      <c r="B46" s="207" t="s">
        <v>405</v>
      </c>
      <c r="C46" s="207"/>
      <c r="D46" s="207"/>
      <c r="E46" s="207"/>
      <c r="F46" s="207"/>
      <c r="G46" s="2"/>
      <c r="H46" s="2"/>
      <c r="I46" s="2"/>
    </row>
    <row r="47" spans="1:9" ht="15.75">
      <c r="A47" s="2"/>
      <c r="B47" s="208" t="s">
        <v>190</v>
      </c>
      <c r="C47" s="208"/>
      <c r="D47" s="208"/>
      <c r="E47" s="208"/>
      <c r="F47" s="208"/>
      <c r="G47" s="2"/>
      <c r="H47" s="2"/>
      <c r="I47" s="2"/>
    </row>
    <row r="48" spans="1:9" ht="15.75">
      <c r="A48" s="2"/>
      <c r="B48" s="204" t="s">
        <v>398</v>
      </c>
      <c r="C48" s="204"/>
      <c r="D48" s="204"/>
      <c r="E48" s="204"/>
      <c r="F48" s="204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>
      <c r="A51" s="45"/>
      <c r="B51" s="45"/>
      <c r="C51" s="45"/>
      <c r="D51" s="45"/>
      <c r="E51" s="45"/>
      <c r="F51" s="45"/>
      <c r="G51" s="45"/>
      <c r="H51" s="45"/>
      <c r="I51" s="45"/>
    </row>
    <row r="52" spans="1:9">
      <c r="A52" s="45"/>
      <c r="B52" s="45"/>
      <c r="C52" s="45"/>
      <c r="D52" s="45"/>
      <c r="E52" s="45"/>
      <c r="F52" s="45"/>
      <c r="G52" s="45"/>
      <c r="H52" s="45"/>
      <c r="I52" s="45"/>
    </row>
    <row r="53" spans="1:9">
      <c r="A53" s="45"/>
      <c r="B53" s="45"/>
      <c r="C53" s="45"/>
      <c r="D53" s="45"/>
      <c r="E53" s="45"/>
      <c r="F53" s="45"/>
      <c r="G53" s="45"/>
      <c r="H53" s="45"/>
      <c r="I53" s="45"/>
    </row>
    <row r="54" spans="1:9">
      <c r="A54" s="45"/>
      <c r="B54" s="45"/>
      <c r="C54" s="45"/>
      <c r="D54" s="45"/>
      <c r="E54" s="45"/>
      <c r="F54" s="45"/>
      <c r="G54" s="45"/>
      <c r="H54" s="45"/>
      <c r="I54" s="45"/>
    </row>
    <row r="55" spans="1:9">
      <c r="A55" s="45"/>
      <c r="B55" s="45"/>
      <c r="C55" s="45"/>
      <c r="D55" s="45"/>
      <c r="E55" s="45"/>
      <c r="F55" s="45"/>
      <c r="G55" s="45"/>
      <c r="H55" s="45"/>
      <c r="I55" s="45"/>
    </row>
    <row r="56" spans="1:9" ht="15.75">
      <c r="A56" s="45"/>
      <c r="B56" s="45"/>
      <c r="C56" s="45"/>
      <c r="D56" s="45"/>
      <c r="E56" s="2"/>
      <c r="F56" s="45"/>
      <c r="G56" s="45"/>
      <c r="H56" s="45"/>
      <c r="I56" s="45"/>
    </row>
    <row r="57" spans="1:9" ht="15.75">
      <c r="A57" s="45"/>
      <c r="B57" s="45"/>
      <c r="C57" s="45"/>
      <c r="D57" s="45"/>
      <c r="E57" s="2"/>
      <c r="F57" s="45"/>
      <c r="G57" s="45"/>
      <c r="H57" s="45"/>
      <c r="I57" s="45"/>
    </row>
    <row r="58" spans="1:9">
      <c r="A58" s="45"/>
      <c r="B58" s="45"/>
      <c r="C58" s="45"/>
      <c r="D58" s="45"/>
      <c r="E58" s="45"/>
      <c r="F58" s="45"/>
      <c r="G58" s="45"/>
      <c r="H58" s="45"/>
      <c r="I58" s="45"/>
    </row>
    <row r="59" spans="1:9">
      <c r="A59" s="45"/>
      <c r="B59" s="45"/>
      <c r="C59" s="45"/>
      <c r="D59" s="45"/>
      <c r="E59" s="45"/>
      <c r="F59" s="45"/>
      <c r="G59" s="45"/>
      <c r="H59" s="45"/>
      <c r="I59" s="45"/>
    </row>
    <row r="60" spans="1:9">
      <c r="A60" s="45"/>
      <c r="B60" s="45"/>
      <c r="C60" s="45"/>
      <c r="D60" s="45"/>
      <c r="E60" s="45"/>
      <c r="F60" s="45"/>
      <c r="G60" s="45"/>
      <c r="H60" s="45"/>
      <c r="I60" s="45"/>
    </row>
    <row r="61" spans="1:9">
      <c r="A61" s="45"/>
      <c r="B61" s="45"/>
      <c r="C61" s="45"/>
      <c r="D61" s="45"/>
      <c r="E61" s="45"/>
      <c r="F61" s="45"/>
      <c r="G61" s="45"/>
      <c r="H61" s="45"/>
      <c r="I61" s="45"/>
    </row>
    <row r="62" spans="1:9">
      <c r="A62" s="45"/>
      <c r="B62" s="45"/>
      <c r="C62" s="45"/>
      <c r="D62" s="45"/>
      <c r="E62" s="45"/>
      <c r="F62" s="45"/>
      <c r="G62" s="45"/>
      <c r="H62" s="45"/>
      <c r="I62" s="45"/>
    </row>
    <row r="63" spans="1:9">
      <c r="E63" s="45"/>
    </row>
    <row r="64" spans="1:9">
      <c r="E64" s="45"/>
    </row>
    <row r="65" spans="5:5">
      <c r="E65" s="45"/>
    </row>
    <row r="66" spans="5:5">
      <c r="E66" s="45"/>
    </row>
    <row r="67" spans="5:5">
      <c r="E67" s="45"/>
    </row>
    <row r="68" spans="5:5">
      <c r="E68" s="45"/>
    </row>
    <row r="69" spans="5:5">
      <c r="E69" s="45"/>
    </row>
  </sheetData>
  <mergeCells count="16">
    <mergeCell ref="A5:A6"/>
    <mergeCell ref="B5:B6"/>
    <mergeCell ref="C5:C6"/>
    <mergeCell ref="D5:D6"/>
    <mergeCell ref="F5:I5"/>
    <mergeCell ref="B3:I3"/>
    <mergeCell ref="B36:D36"/>
    <mergeCell ref="C35:D35"/>
    <mergeCell ref="B39:G39"/>
    <mergeCell ref="E5:E6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4" max="7" man="1"/>
    <brk id="30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V399757"/>
  <sheetViews>
    <sheetView tabSelected="1" view="pageBreakPreview" topLeftCell="A235" zoomScale="60" zoomScaleNormal="80" workbookViewId="0">
      <selection activeCell="A245" sqref="A245:XFD245"/>
    </sheetView>
  </sheetViews>
  <sheetFormatPr defaultColWidth="9.140625" defaultRowHeight="15" outlineLevelRow="1"/>
  <cols>
    <col min="1" max="1" width="3.85546875" style="82" customWidth="1"/>
    <col min="2" max="3" width="9.28515625" style="82" bestFit="1" customWidth="1"/>
    <col min="4" max="4" width="25.5703125" style="82" customWidth="1"/>
    <col min="5" max="5" width="11.85546875" style="82" customWidth="1"/>
    <col min="6" max="6" width="15.28515625" style="82" customWidth="1"/>
    <col min="7" max="7" width="14.28515625" style="82" customWidth="1"/>
    <col min="8" max="8" width="17.140625" style="82" customWidth="1"/>
    <col min="9" max="9" width="16.28515625" style="82" customWidth="1"/>
    <col min="10" max="10" width="11.42578125" style="82" customWidth="1"/>
    <col min="11" max="11" width="14" style="82" customWidth="1"/>
    <col min="12" max="12" width="14.5703125" style="82" customWidth="1"/>
    <col min="13" max="13" width="18" style="82" customWidth="1"/>
    <col min="14" max="14" width="13.140625" style="82" customWidth="1"/>
    <col min="15" max="15" width="14.7109375" style="82" customWidth="1"/>
    <col min="16" max="16" width="12.85546875" style="82" customWidth="1"/>
    <col min="17" max="17" width="15" style="82" customWidth="1"/>
    <col min="18" max="18" width="25.7109375" style="82" customWidth="1"/>
    <col min="19" max="19" width="20.5703125" style="82" customWidth="1"/>
    <col min="20" max="20" width="13" style="82" customWidth="1"/>
    <col min="21" max="21" width="13.85546875" style="82" customWidth="1"/>
    <col min="22" max="22" width="13.5703125" style="82" customWidth="1"/>
    <col min="23" max="16384" width="9.140625" style="82"/>
  </cols>
  <sheetData>
    <row r="1" spans="2:22" ht="15" customHeight="1"/>
    <row r="2" spans="2:22" ht="15" customHeight="1"/>
    <row r="3" spans="2:22" ht="71.25" customHeight="1">
      <c r="B3" s="70"/>
      <c r="C3" s="222" t="s">
        <v>433</v>
      </c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2:22" ht="15.75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</row>
    <row r="5" spans="2:22" ht="15.75" customHeight="1">
      <c r="B5" s="70"/>
      <c r="C5" s="241" t="s">
        <v>265</v>
      </c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</row>
    <row r="6" spans="2:22" ht="15.75"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</row>
    <row r="7" spans="2:22" ht="15.75" customHeight="1">
      <c r="B7" s="70"/>
      <c r="C7" s="241" t="s">
        <v>252</v>
      </c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</row>
    <row r="8" spans="2:22" ht="15.75"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</row>
    <row r="9" spans="2:22" ht="63" customHeight="1">
      <c r="B9" s="223" t="s">
        <v>191</v>
      </c>
      <c r="C9" s="253" t="s">
        <v>2</v>
      </c>
      <c r="D9" s="223" t="s">
        <v>203</v>
      </c>
      <c r="E9" s="223" t="s">
        <v>331</v>
      </c>
      <c r="F9" s="223" t="s">
        <v>18</v>
      </c>
      <c r="G9" s="223"/>
      <c r="H9" s="223"/>
      <c r="I9" s="223"/>
      <c r="J9" s="253" t="s">
        <v>19</v>
      </c>
      <c r="K9" s="129" t="s">
        <v>192</v>
      </c>
      <c r="L9" s="223" t="s">
        <v>193</v>
      </c>
      <c r="M9" s="223"/>
      <c r="N9" s="223"/>
      <c r="O9" s="223"/>
      <c r="P9" s="223"/>
    </row>
    <row r="10" spans="2:22" ht="94.5" customHeight="1">
      <c r="B10" s="223"/>
      <c r="C10" s="267"/>
      <c r="D10" s="223"/>
      <c r="E10" s="223"/>
      <c r="F10" s="223" t="s">
        <v>7</v>
      </c>
      <c r="G10" s="223" t="s">
        <v>4</v>
      </c>
      <c r="H10" s="223"/>
      <c r="I10" s="223"/>
      <c r="J10" s="267"/>
      <c r="K10" s="253" t="s">
        <v>248</v>
      </c>
      <c r="L10" s="223" t="s">
        <v>194</v>
      </c>
      <c r="M10" s="237" t="s">
        <v>195</v>
      </c>
      <c r="N10" s="223" t="s">
        <v>196</v>
      </c>
      <c r="O10" s="223" t="s">
        <v>197</v>
      </c>
      <c r="P10" s="223"/>
    </row>
    <row r="11" spans="2:22" ht="87.75" customHeight="1">
      <c r="B11" s="223"/>
      <c r="C11" s="266"/>
      <c r="D11" s="223"/>
      <c r="E11" s="223"/>
      <c r="F11" s="223"/>
      <c r="G11" s="129" t="s">
        <v>20</v>
      </c>
      <c r="H11" s="129" t="s">
        <v>21</v>
      </c>
      <c r="I11" s="129" t="s">
        <v>22</v>
      </c>
      <c r="J11" s="266"/>
      <c r="K11" s="266"/>
      <c r="L11" s="223"/>
      <c r="M11" s="237"/>
      <c r="N11" s="223"/>
      <c r="O11" s="129" t="s">
        <v>14</v>
      </c>
      <c r="P11" s="129" t="s">
        <v>198</v>
      </c>
      <c r="Q11" s="138"/>
      <c r="R11" s="138"/>
      <c r="S11" s="138"/>
      <c r="T11" s="139" t="s">
        <v>370</v>
      </c>
      <c r="U11" s="140">
        <v>0</v>
      </c>
    </row>
    <row r="12" spans="2:22" ht="15.75">
      <c r="B12" s="129">
        <v>1</v>
      </c>
      <c r="C12" s="129">
        <v>2</v>
      </c>
      <c r="D12" s="129">
        <v>3</v>
      </c>
      <c r="E12" s="129">
        <v>4</v>
      </c>
      <c r="F12" s="129">
        <v>5</v>
      </c>
      <c r="G12" s="129">
        <v>6</v>
      </c>
      <c r="H12" s="129">
        <v>7</v>
      </c>
      <c r="I12" s="129">
        <v>8</v>
      </c>
      <c r="J12" s="129">
        <v>9</v>
      </c>
      <c r="K12" s="129">
        <v>10</v>
      </c>
      <c r="L12" s="129">
        <v>11</v>
      </c>
      <c r="M12" s="129">
        <v>12</v>
      </c>
      <c r="N12" s="129">
        <v>13</v>
      </c>
      <c r="O12" s="129">
        <v>14</v>
      </c>
      <c r="P12" s="129">
        <v>15</v>
      </c>
      <c r="Q12" s="138"/>
      <c r="R12" s="138"/>
      <c r="S12" s="138"/>
      <c r="T12" s="102" t="s">
        <v>332</v>
      </c>
      <c r="U12" s="102"/>
    </row>
    <row r="13" spans="2:22" ht="36.75" customHeight="1">
      <c r="B13" s="129">
        <v>111</v>
      </c>
      <c r="C13" s="129" t="s">
        <v>199</v>
      </c>
      <c r="D13" s="71" t="s">
        <v>341</v>
      </c>
      <c r="E13" s="129">
        <v>23</v>
      </c>
      <c r="F13" s="141">
        <f>G13+H13+I13</f>
        <v>39620.742608695655</v>
      </c>
      <c r="G13" s="141">
        <f>504388.59/E13</f>
        <v>21929.938695652174</v>
      </c>
      <c r="H13" s="91">
        <f>174157.7/E13</f>
        <v>7572.0739130434786</v>
      </c>
      <c r="I13" s="141">
        <v>10118.73</v>
      </c>
      <c r="J13" s="129">
        <f xml:space="preserve"> ROUND((F13*15%),2)</f>
        <v>5943.11</v>
      </c>
      <c r="K13" s="74">
        <f>ROUND(((F13+J13)*12*E13),2)-2.44</f>
        <v>12575620.880000001</v>
      </c>
      <c r="L13" s="74">
        <f>K13-O13-M13</f>
        <v>12481720.880000001</v>
      </c>
      <c r="M13" s="74">
        <f>U11</f>
        <v>0</v>
      </c>
      <c r="N13" s="74" t="s">
        <v>242</v>
      </c>
      <c r="O13" s="129">
        <f>U14</f>
        <v>93900</v>
      </c>
      <c r="P13" s="74" t="s">
        <v>242</v>
      </c>
      <c r="Q13" s="142">
        <f>U15-Q14-Q15</f>
        <v>12575620.879999999</v>
      </c>
      <c r="R13" s="142">
        <f>S13/12/1.15/E13</f>
        <v>0</v>
      </c>
      <c r="S13" s="115">
        <f>Q13-K13</f>
        <v>0</v>
      </c>
      <c r="T13" s="102" t="s">
        <v>333</v>
      </c>
      <c r="U13" s="184">
        <v>18646512.079999998</v>
      </c>
    </row>
    <row r="14" spans="2:22" ht="34.5" customHeight="1">
      <c r="B14" s="129">
        <v>111</v>
      </c>
      <c r="C14" s="129" t="s">
        <v>182</v>
      </c>
      <c r="D14" s="71" t="s">
        <v>200</v>
      </c>
      <c r="E14" s="129">
        <v>16.5</v>
      </c>
      <c r="F14" s="141">
        <f t="shared" ref="F14:F15" si="0">G14+H14+I14</f>
        <v>18658.904848484846</v>
      </c>
      <c r="G14" s="141">
        <f>(6757.1+6128.5+15018.3+2626.5+112064)/E14</f>
        <v>8642.0848484848484</v>
      </c>
      <c r="H14" s="91">
        <v>10016.82</v>
      </c>
      <c r="I14" s="129">
        <v>0</v>
      </c>
      <c r="J14" s="129">
        <f xml:space="preserve"> ROUND((F14*15%),2)</f>
        <v>2798.84</v>
      </c>
      <c r="K14" s="74">
        <f>ROUND(((F14+J14)*12*E14),2)+0.12</f>
        <v>4248633.6000000006</v>
      </c>
      <c r="L14" s="74">
        <f t="shared" ref="L14" si="1">K14-O14</f>
        <v>4248633.6000000006</v>
      </c>
      <c r="M14" s="74" t="s">
        <v>242</v>
      </c>
      <c r="N14" s="74" t="s">
        <v>242</v>
      </c>
      <c r="O14" s="129">
        <v>0</v>
      </c>
      <c r="P14" s="74" t="s">
        <v>242</v>
      </c>
      <c r="Q14" s="142">
        <f>(6638.49+33192.45+283242.24+15489.81+15489.81)*12</f>
        <v>4248633.5999999996</v>
      </c>
      <c r="R14" s="142">
        <f>S14/12/1.15/E14</f>
        <v>0</v>
      </c>
      <c r="S14" s="115">
        <f t="shared" ref="S14" si="2">Q14-K14</f>
        <v>0</v>
      </c>
      <c r="T14" s="102" t="s">
        <v>299</v>
      </c>
      <c r="U14" s="143">
        <v>93900</v>
      </c>
    </row>
    <row r="15" spans="2:22" ht="50.25" customHeight="1">
      <c r="B15" s="129">
        <v>111</v>
      </c>
      <c r="C15" s="129" t="s">
        <v>202</v>
      </c>
      <c r="D15" s="71" t="s">
        <v>201</v>
      </c>
      <c r="E15" s="129">
        <v>4</v>
      </c>
      <c r="F15" s="129">
        <f t="shared" si="0"/>
        <v>34713</v>
      </c>
      <c r="G15" s="129">
        <f>(94581+17289)/E15</f>
        <v>27967.5</v>
      </c>
      <c r="H15" s="91">
        <v>1369.5</v>
      </c>
      <c r="I15" s="129">
        <v>5376</v>
      </c>
      <c r="J15" s="129">
        <f xml:space="preserve"> ROUND((F15*15%),2)</f>
        <v>5206.95</v>
      </c>
      <c r="K15" s="74">
        <f>ROUND(((F15+J15)*12*E15),2)</f>
        <v>1916157.6</v>
      </c>
      <c r="L15" s="74">
        <f>K15-O15</f>
        <v>1916157.6</v>
      </c>
      <c r="M15" s="74" t="s">
        <v>242</v>
      </c>
      <c r="N15" s="74" t="s">
        <v>242</v>
      </c>
      <c r="O15" s="129">
        <v>0</v>
      </c>
      <c r="P15" s="74" t="s">
        <v>242</v>
      </c>
      <c r="Q15" s="142">
        <f>(25249.86+134429.94)*12</f>
        <v>1916157.5999999999</v>
      </c>
      <c r="R15" s="142">
        <f t="shared" ref="R15" si="3">S15/12/1.15/E15</f>
        <v>0</v>
      </c>
      <c r="S15" s="115">
        <f>Q15-K15</f>
        <v>0</v>
      </c>
      <c r="T15" s="102" t="s">
        <v>7</v>
      </c>
      <c r="U15" s="185">
        <f>SUM(U11:U14)</f>
        <v>18740412.079999998</v>
      </c>
      <c r="V15" s="142">
        <f>U15-K16</f>
        <v>0</v>
      </c>
    </row>
    <row r="16" spans="2:22" ht="15.75">
      <c r="B16" s="144"/>
      <c r="C16" s="265" t="s">
        <v>23</v>
      </c>
      <c r="D16" s="265"/>
      <c r="E16" s="131" t="s">
        <v>9</v>
      </c>
      <c r="F16" s="131" t="s">
        <v>9</v>
      </c>
      <c r="G16" s="131" t="s">
        <v>9</v>
      </c>
      <c r="H16" s="131" t="s">
        <v>9</v>
      </c>
      <c r="I16" s="131" t="s">
        <v>9</v>
      </c>
      <c r="J16" s="131" t="s">
        <v>9</v>
      </c>
      <c r="K16" s="145">
        <f>SUM(K13:K15)</f>
        <v>18740412.080000002</v>
      </c>
      <c r="L16" s="179">
        <f>SUM(L13:L15)</f>
        <v>18646512.080000002</v>
      </c>
      <c r="M16" s="145">
        <f t="shared" ref="M16:P16" si="4">SUM(M13:M15)</f>
        <v>0</v>
      </c>
      <c r="N16" s="145">
        <f t="shared" si="4"/>
        <v>0</v>
      </c>
      <c r="O16" s="145">
        <f t="shared" si="4"/>
        <v>93900</v>
      </c>
      <c r="P16" s="145">
        <f t="shared" si="4"/>
        <v>0</v>
      </c>
      <c r="S16" s="115"/>
      <c r="U16" s="82" t="b">
        <f>K16=U15</f>
        <v>1</v>
      </c>
    </row>
    <row r="17" spans="2:20" ht="15" customHeight="1">
      <c r="S17" s="142"/>
    </row>
    <row r="18" spans="2:20" ht="21" customHeight="1">
      <c r="B18" s="70"/>
      <c r="C18" s="222" t="s">
        <v>253</v>
      </c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70"/>
      <c r="P18" s="70"/>
      <c r="Q18" s="138"/>
      <c r="R18" s="138"/>
      <c r="S18" s="138"/>
    </row>
    <row r="19" spans="2:20" ht="15.75" customHeight="1"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</row>
    <row r="20" spans="2:20" ht="34.5" customHeight="1">
      <c r="B20" s="223" t="s">
        <v>191</v>
      </c>
      <c r="C20" s="223" t="s">
        <v>2</v>
      </c>
      <c r="D20" s="223" t="s">
        <v>24</v>
      </c>
      <c r="E20" s="223" t="s">
        <v>207</v>
      </c>
      <c r="F20" s="223"/>
      <c r="G20" s="223" t="s">
        <v>193</v>
      </c>
      <c r="H20" s="223"/>
      <c r="I20" s="223"/>
      <c r="J20" s="223"/>
      <c r="K20" s="223"/>
      <c r="L20" s="223"/>
      <c r="M20" s="223"/>
      <c r="N20" s="94"/>
      <c r="O20" s="94"/>
      <c r="P20" s="94"/>
      <c r="Q20" s="94"/>
      <c r="R20" s="94"/>
    </row>
    <row r="21" spans="2:20" ht="90.75" customHeight="1">
      <c r="B21" s="223"/>
      <c r="C21" s="223"/>
      <c r="D21" s="223"/>
      <c r="E21" s="223"/>
      <c r="F21" s="223"/>
      <c r="G21" s="223" t="s">
        <v>194</v>
      </c>
      <c r="H21" s="223"/>
      <c r="I21" s="237" t="s">
        <v>195</v>
      </c>
      <c r="J21" s="237"/>
      <c r="K21" s="223" t="s">
        <v>196</v>
      </c>
      <c r="L21" s="255" t="s">
        <v>197</v>
      </c>
      <c r="M21" s="254"/>
      <c r="N21" s="264"/>
      <c r="O21" s="264"/>
      <c r="P21" s="83"/>
      <c r="Q21" s="94"/>
      <c r="R21" s="94"/>
      <c r="S21" s="94"/>
    </row>
    <row r="22" spans="2:20" ht="39" customHeight="1">
      <c r="B22" s="223"/>
      <c r="C22" s="223"/>
      <c r="D22" s="223"/>
      <c r="E22" s="223"/>
      <c r="F22" s="223"/>
      <c r="G22" s="223"/>
      <c r="H22" s="223"/>
      <c r="I22" s="237"/>
      <c r="J22" s="237"/>
      <c r="K22" s="223"/>
      <c r="L22" s="129" t="s">
        <v>14</v>
      </c>
      <c r="M22" s="129" t="s">
        <v>198</v>
      </c>
      <c r="N22" s="83"/>
      <c r="O22" s="83"/>
      <c r="P22" s="83"/>
      <c r="Q22" s="94"/>
      <c r="R22" s="94"/>
      <c r="S22" s="94"/>
    </row>
    <row r="23" spans="2:20" ht="15.75" customHeight="1">
      <c r="B23" s="129">
        <v>1</v>
      </c>
      <c r="C23" s="129">
        <v>2</v>
      </c>
      <c r="D23" s="129">
        <v>3</v>
      </c>
      <c r="E23" s="223">
        <v>4</v>
      </c>
      <c r="F23" s="223"/>
      <c r="G23" s="223">
        <v>5</v>
      </c>
      <c r="H23" s="223"/>
      <c r="I23" s="223">
        <v>6</v>
      </c>
      <c r="J23" s="223"/>
      <c r="K23" s="129">
        <v>7</v>
      </c>
      <c r="L23" s="129">
        <v>8</v>
      </c>
      <c r="M23" s="129">
        <v>9</v>
      </c>
      <c r="N23" s="83"/>
      <c r="O23" s="83"/>
      <c r="P23" s="83"/>
      <c r="Q23" s="94"/>
      <c r="R23" s="94"/>
      <c r="S23" s="94"/>
    </row>
    <row r="24" spans="2:20" ht="30.75" customHeight="1">
      <c r="B24" s="129">
        <v>111</v>
      </c>
      <c r="C24" s="129" t="s">
        <v>199</v>
      </c>
      <c r="D24" s="146" t="s">
        <v>287</v>
      </c>
      <c r="E24" s="258">
        <v>100000</v>
      </c>
      <c r="F24" s="259"/>
      <c r="G24" s="223" t="s">
        <v>9</v>
      </c>
      <c r="H24" s="223"/>
      <c r="I24" s="223" t="s">
        <v>9</v>
      </c>
      <c r="J24" s="223"/>
      <c r="K24" s="129" t="s">
        <v>9</v>
      </c>
      <c r="L24" s="129" t="s">
        <v>9</v>
      </c>
      <c r="M24" s="129" t="s">
        <v>9</v>
      </c>
      <c r="N24" s="94"/>
      <c r="O24" s="94"/>
      <c r="P24" s="94"/>
      <c r="Q24" s="81" t="s">
        <v>301</v>
      </c>
      <c r="R24" s="81"/>
      <c r="S24" s="94"/>
    </row>
    <row r="25" spans="2:20" ht="15.75" customHeight="1">
      <c r="B25" s="71"/>
      <c r="C25" s="260" t="s">
        <v>23</v>
      </c>
      <c r="D25" s="261"/>
      <c r="E25" s="251">
        <f>SUM(E24)</f>
        <v>100000</v>
      </c>
      <c r="F25" s="251"/>
      <c r="G25" s="262">
        <f>E25</f>
        <v>100000</v>
      </c>
      <c r="H25" s="263"/>
      <c r="I25" s="251">
        <v>0</v>
      </c>
      <c r="J25" s="251"/>
      <c r="K25" s="76">
        <v>0</v>
      </c>
      <c r="L25" s="76">
        <v>0</v>
      </c>
      <c r="M25" s="76">
        <v>0</v>
      </c>
      <c r="N25" s="94"/>
      <c r="O25" s="94"/>
      <c r="P25" s="94"/>
      <c r="Q25" s="94"/>
      <c r="R25" s="94"/>
      <c r="S25" s="94"/>
    </row>
    <row r="26" spans="2:20" ht="15.75">
      <c r="B26" s="83"/>
      <c r="C26" s="83"/>
      <c r="D26" s="147"/>
      <c r="E26" s="83"/>
      <c r="F26" s="83"/>
      <c r="G26" s="83"/>
      <c r="H26" s="94"/>
      <c r="I26" s="83"/>
      <c r="J26" s="83"/>
      <c r="K26" s="83"/>
      <c r="L26" s="83"/>
      <c r="M26" s="94"/>
      <c r="N26" s="94"/>
      <c r="O26" s="94"/>
      <c r="P26" s="94"/>
      <c r="Q26" s="94"/>
      <c r="R26" s="94"/>
      <c r="S26" s="94"/>
    </row>
    <row r="27" spans="2:20" ht="18.75" customHeight="1">
      <c r="B27" s="70"/>
      <c r="C27" s="222" t="s">
        <v>254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148"/>
      <c r="P27" s="148"/>
    </row>
    <row r="28" spans="2:20" ht="15.75"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</row>
    <row r="29" spans="2:20" ht="36" customHeight="1">
      <c r="B29" s="223" t="s">
        <v>191</v>
      </c>
      <c r="C29" s="223" t="s">
        <v>2</v>
      </c>
      <c r="D29" s="223" t="s">
        <v>24</v>
      </c>
      <c r="E29" s="223" t="s">
        <v>204</v>
      </c>
      <c r="F29" s="223" t="s">
        <v>205</v>
      </c>
      <c r="G29" s="223" t="s">
        <v>206</v>
      </c>
      <c r="H29" s="129" t="s">
        <v>207</v>
      </c>
      <c r="I29" s="223" t="s">
        <v>193</v>
      </c>
      <c r="J29" s="223"/>
      <c r="K29" s="223"/>
      <c r="L29" s="223"/>
      <c r="M29" s="223"/>
      <c r="N29" s="223"/>
      <c r="O29" s="223"/>
      <c r="P29" s="94"/>
    </row>
    <row r="30" spans="2:20" ht="87.75" customHeight="1">
      <c r="B30" s="223"/>
      <c r="C30" s="223"/>
      <c r="D30" s="223"/>
      <c r="E30" s="223"/>
      <c r="F30" s="223"/>
      <c r="G30" s="223"/>
      <c r="H30" s="223" t="s">
        <v>245</v>
      </c>
      <c r="I30" s="217" t="s">
        <v>194</v>
      </c>
      <c r="J30" s="217"/>
      <c r="K30" s="237" t="s">
        <v>195</v>
      </c>
      <c r="L30" s="237"/>
      <c r="M30" s="223" t="s">
        <v>196</v>
      </c>
      <c r="N30" s="218" t="s">
        <v>197</v>
      </c>
      <c r="O30" s="219"/>
      <c r="P30" s="83"/>
      <c r="Q30" s="243"/>
      <c r="R30" s="243"/>
      <c r="S30" s="243"/>
      <c r="T30" s="70"/>
    </row>
    <row r="31" spans="2:20" ht="30.75" customHeight="1">
      <c r="B31" s="223"/>
      <c r="C31" s="223"/>
      <c r="D31" s="223"/>
      <c r="E31" s="223"/>
      <c r="F31" s="223"/>
      <c r="G31" s="223"/>
      <c r="H31" s="223"/>
      <c r="I31" s="217"/>
      <c r="J31" s="217"/>
      <c r="K31" s="237"/>
      <c r="L31" s="237"/>
      <c r="M31" s="223"/>
      <c r="N31" s="122" t="s">
        <v>14</v>
      </c>
      <c r="O31" s="122" t="s">
        <v>198</v>
      </c>
      <c r="P31" s="83"/>
      <c r="Q31" s="149"/>
      <c r="R31" s="149"/>
      <c r="S31" s="149"/>
      <c r="T31" s="70"/>
    </row>
    <row r="32" spans="2:20" ht="15.75">
      <c r="B32" s="129">
        <v>1</v>
      </c>
      <c r="C32" s="129">
        <v>2</v>
      </c>
      <c r="D32" s="129">
        <v>3</v>
      </c>
      <c r="E32" s="129">
        <v>4</v>
      </c>
      <c r="F32" s="129">
        <v>5</v>
      </c>
      <c r="G32" s="129">
        <v>6</v>
      </c>
      <c r="H32" s="129">
        <v>7</v>
      </c>
      <c r="I32" s="223">
        <v>8</v>
      </c>
      <c r="J32" s="223"/>
      <c r="K32" s="223">
        <v>9</v>
      </c>
      <c r="L32" s="223"/>
      <c r="M32" s="129">
        <v>10</v>
      </c>
      <c r="N32" s="129">
        <v>11</v>
      </c>
      <c r="O32" s="129">
        <v>12</v>
      </c>
      <c r="P32" s="83"/>
      <c r="Q32" s="83"/>
      <c r="R32" s="83"/>
      <c r="S32" s="83"/>
      <c r="T32" s="70"/>
    </row>
    <row r="33" spans="2:20" ht="99" hidden="1" customHeight="1">
      <c r="B33" s="129">
        <v>112</v>
      </c>
      <c r="C33" s="129" t="s">
        <v>199</v>
      </c>
      <c r="D33" s="71" t="s">
        <v>288</v>
      </c>
      <c r="E33" s="91">
        <v>600</v>
      </c>
      <c r="F33" s="129">
        <v>6</v>
      </c>
      <c r="G33" s="129"/>
      <c r="H33" s="91">
        <v>0</v>
      </c>
      <c r="I33" s="223" t="s">
        <v>9</v>
      </c>
      <c r="J33" s="223"/>
      <c r="K33" s="223" t="s">
        <v>9</v>
      </c>
      <c r="L33" s="223"/>
      <c r="M33" s="129" t="s">
        <v>9</v>
      </c>
      <c r="N33" s="129" t="s">
        <v>9</v>
      </c>
      <c r="O33" s="129" t="s">
        <v>9</v>
      </c>
      <c r="P33" s="83"/>
      <c r="Q33" s="81" t="s">
        <v>300</v>
      </c>
      <c r="R33" s="81"/>
      <c r="S33" s="83"/>
      <c r="T33" s="70"/>
    </row>
    <row r="34" spans="2:20" ht="15.75">
      <c r="B34" s="71"/>
      <c r="C34" s="71"/>
      <c r="D34" s="92" t="s">
        <v>23</v>
      </c>
      <c r="E34" s="131" t="s">
        <v>9</v>
      </c>
      <c r="F34" s="131" t="s">
        <v>9</v>
      </c>
      <c r="G34" s="131" t="s">
        <v>9</v>
      </c>
      <c r="H34" s="193">
        <f>SUM(H33)</f>
        <v>0</v>
      </c>
      <c r="I34" s="251">
        <f>H34</f>
        <v>0</v>
      </c>
      <c r="J34" s="257"/>
      <c r="K34" s="251">
        <v>0</v>
      </c>
      <c r="L34" s="251"/>
      <c r="M34" s="76">
        <v>0</v>
      </c>
      <c r="N34" s="76">
        <v>0</v>
      </c>
      <c r="O34" s="76">
        <v>0</v>
      </c>
      <c r="P34" s="93"/>
      <c r="Q34" s="94"/>
      <c r="R34" s="94"/>
      <c r="S34" s="94"/>
      <c r="T34" s="70"/>
    </row>
    <row r="35" spans="2:20" ht="15" customHeight="1"/>
    <row r="36" spans="2:20" ht="34.5" customHeight="1">
      <c r="B36" s="70"/>
      <c r="C36" s="222" t="s">
        <v>255</v>
      </c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148"/>
      <c r="P36" s="148"/>
    </row>
    <row r="37" spans="2:20" ht="15.75" customHeight="1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</row>
    <row r="38" spans="2:20" ht="36" customHeight="1">
      <c r="B38" s="223" t="s">
        <v>191</v>
      </c>
      <c r="C38" s="223" t="s">
        <v>2</v>
      </c>
      <c r="D38" s="223" t="s">
        <v>24</v>
      </c>
      <c r="E38" s="223" t="s">
        <v>204</v>
      </c>
      <c r="F38" s="223" t="s">
        <v>205</v>
      </c>
      <c r="G38" s="223" t="s">
        <v>206</v>
      </c>
      <c r="H38" s="129" t="s">
        <v>207</v>
      </c>
      <c r="I38" s="223" t="s">
        <v>193</v>
      </c>
      <c r="J38" s="223"/>
      <c r="K38" s="223"/>
      <c r="L38" s="223"/>
      <c r="M38" s="223"/>
      <c r="N38" s="223"/>
      <c r="O38" s="223"/>
      <c r="P38" s="94"/>
    </row>
    <row r="39" spans="2:20" ht="87" customHeight="1">
      <c r="B39" s="223"/>
      <c r="C39" s="223"/>
      <c r="D39" s="223"/>
      <c r="E39" s="223"/>
      <c r="F39" s="223"/>
      <c r="G39" s="223"/>
      <c r="H39" s="223" t="s">
        <v>245</v>
      </c>
      <c r="I39" s="217" t="s">
        <v>194</v>
      </c>
      <c r="J39" s="217"/>
      <c r="K39" s="237" t="s">
        <v>195</v>
      </c>
      <c r="L39" s="237"/>
      <c r="M39" s="223" t="s">
        <v>196</v>
      </c>
      <c r="N39" s="217" t="s">
        <v>197</v>
      </c>
      <c r="O39" s="217"/>
      <c r="P39" s="83"/>
      <c r="Q39" s="243"/>
      <c r="R39" s="243"/>
      <c r="S39" s="243"/>
      <c r="T39" s="70"/>
    </row>
    <row r="40" spans="2:20" ht="30.75" customHeight="1">
      <c r="B40" s="223"/>
      <c r="C40" s="223"/>
      <c r="D40" s="223"/>
      <c r="E40" s="223"/>
      <c r="F40" s="223"/>
      <c r="G40" s="223"/>
      <c r="H40" s="223"/>
      <c r="I40" s="217"/>
      <c r="J40" s="217"/>
      <c r="K40" s="237"/>
      <c r="L40" s="237"/>
      <c r="M40" s="223"/>
      <c r="N40" s="122" t="s">
        <v>14</v>
      </c>
      <c r="O40" s="122" t="s">
        <v>198</v>
      </c>
      <c r="P40" s="83"/>
      <c r="Q40" s="149"/>
      <c r="R40" s="149"/>
      <c r="S40" s="149"/>
      <c r="T40" s="70"/>
    </row>
    <row r="41" spans="2:20" ht="15.75" customHeight="1">
      <c r="B41" s="129">
        <v>1</v>
      </c>
      <c r="C41" s="129">
        <v>2</v>
      </c>
      <c r="D41" s="129">
        <v>3</v>
      </c>
      <c r="E41" s="129">
        <v>4</v>
      </c>
      <c r="F41" s="129">
        <v>5</v>
      </c>
      <c r="G41" s="129">
        <v>6</v>
      </c>
      <c r="H41" s="129">
        <v>7</v>
      </c>
      <c r="I41" s="223">
        <v>8</v>
      </c>
      <c r="J41" s="223"/>
      <c r="K41" s="223">
        <v>9</v>
      </c>
      <c r="L41" s="223"/>
      <c r="M41" s="129">
        <v>10</v>
      </c>
      <c r="N41" s="129">
        <v>11</v>
      </c>
      <c r="O41" s="129">
        <v>12</v>
      </c>
      <c r="P41" s="83"/>
      <c r="Q41" s="83"/>
      <c r="R41" s="83"/>
      <c r="S41" s="83"/>
      <c r="T41" s="70"/>
    </row>
    <row r="42" spans="2:20" ht="18" customHeight="1">
      <c r="B42" s="71"/>
      <c r="C42" s="129"/>
      <c r="D42" s="71"/>
      <c r="E42" s="71"/>
      <c r="F42" s="71"/>
      <c r="G42" s="71"/>
      <c r="H42" s="91"/>
      <c r="I42" s="223" t="s">
        <v>9</v>
      </c>
      <c r="J42" s="223"/>
      <c r="K42" s="223" t="s">
        <v>9</v>
      </c>
      <c r="L42" s="223"/>
      <c r="M42" s="129" t="s">
        <v>9</v>
      </c>
      <c r="N42" s="129" t="s">
        <v>9</v>
      </c>
      <c r="O42" s="129" t="s">
        <v>9</v>
      </c>
      <c r="P42" s="83"/>
      <c r="Q42" s="83" t="s">
        <v>324</v>
      </c>
      <c r="R42" s="83"/>
      <c r="S42" s="83"/>
      <c r="T42" s="70"/>
    </row>
    <row r="43" spans="2:20" ht="15.75" customHeight="1">
      <c r="B43" s="71"/>
      <c r="C43" s="71"/>
      <c r="D43" s="92" t="s">
        <v>23</v>
      </c>
      <c r="E43" s="131" t="s">
        <v>9</v>
      </c>
      <c r="F43" s="131" t="s">
        <v>9</v>
      </c>
      <c r="G43" s="131" t="s">
        <v>9</v>
      </c>
      <c r="H43" s="76">
        <f>H42</f>
        <v>0</v>
      </c>
      <c r="I43" s="257"/>
      <c r="J43" s="257"/>
      <c r="K43" s="257"/>
      <c r="L43" s="257"/>
      <c r="M43" s="92"/>
      <c r="N43" s="117">
        <f>H43</f>
        <v>0</v>
      </c>
      <c r="O43" s="92"/>
      <c r="P43" s="93"/>
      <c r="Q43" s="94"/>
      <c r="R43" s="94"/>
      <c r="S43" s="94"/>
      <c r="T43" s="70"/>
    </row>
    <row r="44" spans="2:20" ht="15.75">
      <c r="B44" s="83"/>
      <c r="C44" s="94"/>
      <c r="D44" s="93"/>
      <c r="E44" s="72"/>
      <c r="F44" s="72"/>
      <c r="G44" s="72"/>
      <c r="H44" s="93"/>
      <c r="I44" s="72"/>
      <c r="J44" s="72"/>
      <c r="K44" s="72"/>
      <c r="L44" s="72"/>
      <c r="M44" s="93"/>
      <c r="N44" s="93"/>
      <c r="O44" s="94"/>
      <c r="P44" s="94"/>
      <c r="Q44" s="94"/>
      <c r="R44" s="94"/>
      <c r="S44" s="94"/>
      <c r="T44" s="70"/>
    </row>
    <row r="45" spans="2:20" ht="54.75" customHeight="1">
      <c r="B45" s="70"/>
      <c r="C45" s="222" t="s">
        <v>256</v>
      </c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70"/>
      <c r="P45" s="70"/>
    </row>
    <row r="46" spans="2:20" ht="15.7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</row>
    <row r="47" spans="2:20" ht="23.25" customHeight="1">
      <c r="B47" s="223" t="s">
        <v>191</v>
      </c>
      <c r="C47" s="223" t="s">
        <v>2</v>
      </c>
      <c r="D47" s="223" t="s">
        <v>25</v>
      </c>
      <c r="E47" s="223" t="s">
        <v>209</v>
      </c>
      <c r="F47" s="223" t="s">
        <v>210</v>
      </c>
      <c r="G47" s="223" t="s">
        <v>211</v>
      </c>
      <c r="H47" s="223" t="s">
        <v>193</v>
      </c>
      <c r="I47" s="223"/>
      <c r="J47" s="223"/>
      <c r="K47" s="223"/>
      <c r="L47" s="223"/>
      <c r="M47" s="223"/>
      <c r="N47" s="223"/>
      <c r="O47" s="94"/>
      <c r="P47" s="94"/>
    </row>
    <row r="48" spans="2:20" ht="84" customHeight="1">
      <c r="B48" s="223"/>
      <c r="C48" s="223"/>
      <c r="D48" s="223"/>
      <c r="E48" s="223"/>
      <c r="F48" s="223"/>
      <c r="G48" s="255"/>
      <c r="H48" s="223" t="s">
        <v>194</v>
      </c>
      <c r="I48" s="223"/>
      <c r="J48" s="256" t="s">
        <v>195</v>
      </c>
      <c r="K48" s="237"/>
      <c r="L48" s="223" t="s">
        <v>196</v>
      </c>
      <c r="M48" s="223" t="s">
        <v>197</v>
      </c>
      <c r="N48" s="223"/>
      <c r="O48" s="94"/>
      <c r="P48" s="94"/>
    </row>
    <row r="49" spans="2:21" ht="36" customHeight="1">
      <c r="B49" s="223"/>
      <c r="C49" s="223"/>
      <c r="D49" s="223"/>
      <c r="E49" s="223"/>
      <c r="F49" s="223"/>
      <c r="G49" s="255"/>
      <c r="H49" s="223"/>
      <c r="I49" s="223"/>
      <c r="J49" s="256"/>
      <c r="K49" s="237"/>
      <c r="L49" s="223"/>
      <c r="M49" s="129" t="s">
        <v>14</v>
      </c>
      <c r="N49" s="129" t="s">
        <v>198</v>
      </c>
      <c r="O49" s="83"/>
      <c r="P49" s="83"/>
    </row>
    <row r="50" spans="2:21" ht="15.75">
      <c r="B50" s="129">
        <v>1</v>
      </c>
      <c r="C50" s="129">
        <v>2</v>
      </c>
      <c r="D50" s="129">
        <v>3</v>
      </c>
      <c r="E50" s="129">
        <v>4</v>
      </c>
      <c r="F50" s="129">
        <v>5</v>
      </c>
      <c r="G50" s="130">
        <v>6</v>
      </c>
      <c r="H50" s="223">
        <v>7</v>
      </c>
      <c r="I50" s="223"/>
      <c r="J50" s="254">
        <v>8</v>
      </c>
      <c r="K50" s="223"/>
      <c r="L50" s="129">
        <v>9</v>
      </c>
      <c r="M50" s="129">
        <v>10</v>
      </c>
      <c r="N50" s="129">
        <v>11</v>
      </c>
      <c r="O50" s="83"/>
      <c r="P50" s="83"/>
    </row>
    <row r="51" spans="2:21" ht="63">
      <c r="B51" s="129">
        <v>119</v>
      </c>
      <c r="C51" s="129" t="s">
        <v>199</v>
      </c>
      <c r="D51" s="71" t="s">
        <v>26</v>
      </c>
      <c r="E51" s="129" t="s">
        <v>9</v>
      </c>
      <c r="F51" s="129" t="s">
        <v>9</v>
      </c>
      <c r="G51" s="132">
        <f>SUM(G52:G53)</f>
        <v>3908824.48</v>
      </c>
      <c r="H51" s="223" t="s">
        <v>9</v>
      </c>
      <c r="I51" s="223"/>
      <c r="J51" s="223" t="s">
        <v>9</v>
      </c>
      <c r="K51" s="223"/>
      <c r="L51" s="150" t="s">
        <v>9</v>
      </c>
      <c r="M51" s="150" t="s">
        <v>9</v>
      </c>
      <c r="N51" s="150" t="s">
        <v>9</v>
      </c>
      <c r="O51" s="83"/>
      <c r="R51" s="151">
        <f>ROUND((0.01*100/30.2),0)</f>
        <v>0</v>
      </c>
      <c r="T51" s="102"/>
      <c r="U51" s="102"/>
    </row>
    <row r="52" spans="2:21" ht="15.75">
      <c r="B52" s="129">
        <v>119</v>
      </c>
      <c r="C52" s="129" t="s">
        <v>27</v>
      </c>
      <c r="D52" s="71" t="s">
        <v>212</v>
      </c>
      <c r="E52" s="129">
        <v>22</v>
      </c>
      <c r="F52" s="73">
        <f>K16</f>
        <v>18740412.080000002</v>
      </c>
      <c r="G52" s="132">
        <f>ROUND((F52*22%),0)+30791-287578+99745.15+73594.1+81792.41+576593-545671-842042+101123+1339+356954+5819-11463+397241+23078-7285-302464.5+34367.32</f>
        <v>3908824.48</v>
      </c>
      <c r="H52" s="223" t="s">
        <v>9</v>
      </c>
      <c r="I52" s="223"/>
      <c r="J52" s="223" t="s">
        <v>9</v>
      </c>
      <c r="K52" s="223"/>
      <c r="L52" s="150" t="s">
        <v>9</v>
      </c>
      <c r="M52" s="150" t="s">
        <v>9</v>
      </c>
      <c r="N52" s="150" t="s">
        <v>9</v>
      </c>
      <c r="O52" s="83"/>
      <c r="Q52" s="81" t="s">
        <v>302</v>
      </c>
      <c r="R52" s="125">
        <f>SUM(R53:R57)</f>
        <v>0</v>
      </c>
      <c r="T52" s="102"/>
      <c r="U52" s="102"/>
    </row>
    <row r="53" spans="2:21" ht="15.75">
      <c r="B53" s="129">
        <v>119</v>
      </c>
      <c r="C53" s="129" t="s">
        <v>28</v>
      </c>
      <c r="D53" s="71" t="s">
        <v>213</v>
      </c>
      <c r="E53" s="129">
        <v>10</v>
      </c>
      <c r="F53" s="71"/>
      <c r="G53" s="132">
        <f>ROUND((F53*22%),2)</f>
        <v>0</v>
      </c>
      <c r="H53" s="223" t="s">
        <v>9</v>
      </c>
      <c r="I53" s="223"/>
      <c r="J53" s="223" t="s">
        <v>9</v>
      </c>
      <c r="K53" s="223"/>
      <c r="L53" s="150" t="s">
        <v>9</v>
      </c>
      <c r="M53" s="150" t="s">
        <v>9</v>
      </c>
      <c r="N53" s="150" t="s">
        <v>9</v>
      </c>
      <c r="O53" s="83"/>
      <c r="R53" s="91">
        <f>ROUND((R51*22%),0)</f>
        <v>0</v>
      </c>
      <c r="T53" s="102" t="s">
        <v>365</v>
      </c>
      <c r="U53" s="102">
        <v>0</v>
      </c>
    </row>
    <row r="54" spans="2:21" ht="71.25" customHeight="1">
      <c r="B54" s="129">
        <v>119</v>
      </c>
      <c r="C54" s="129" t="s">
        <v>177</v>
      </c>
      <c r="D54" s="71" t="s">
        <v>30</v>
      </c>
      <c r="E54" s="129" t="s">
        <v>9</v>
      </c>
      <c r="F54" s="129" t="s">
        <v>9</v>
      </c>
      <c r="G54" s="132">
        <f>G55+G56</f>
        <v>672174</v>
      </c>
      <c r="H54" s="223" t="s">
        <v>9</v>
      </c>
      <c r="I54" s="223"/>
      <c r="J54" s="223" t="s">
        <v>9</v>
      </c>
      <c r="K54" s="223"/>
      <c r="L54" s="150" t="s">
        <v>9</v>
      </c>
      <c r="M54" s="150" t="s">
        <v>9</v>
      </c>
      <c r="N54" s="150" t="s">
        <v>9</v>
      </c>
      <c r="O54" s="83"/>
      <c r="R54" s="152"/>
      <c r="T54" s="102" t="s">
        <v>306</v>
      </c>
      <c r="U54" s="102">
        <v>5661447.5899999999</v>
      </c>
    </row>
    <row r="55" spans="2:21" ht="102" customHeight="1">
      <c r="B55" s="129">
        <v>119</v>
      </c>
      <c r="C55" s="129" t="s">
        <v>31</v>
      </c>
      <c r="D55" s="71" t="s">
        <v>214</v>
      </c>
      <c r="E55" s="129">
        <v>2.9</v>
      </c>
      <c r="F55" s="74">
        <f>F52</f>
        <v>18740412.080000002</v>
      </c>
      <c r="G55" s="132">
        <f>ROUND((F55*2.9%),0)+4059+76005-71929+13330+176+47053+767-1511+52364+3042-960-39870+4530</f>
        <v>630528</v>
      </c>
      <c r="H55" s="223" t="s">
        <v>9</v>
      </c>
      <c r="I55" s="223"/>
      <c r="J55" s="223" t="s">
        <v>9</v>
      </c>
      <c r="K55" s="223"/>
      <c r="L55" s="150" t="s">
        <v>9</v>
      </c>
      <c r="M55" s="150" t="s">
        <v>9</v>
      </c>
      <c r="N55" s="150" t="s">
        <v>9</v>
      </c>
      <c r="O55" s="83"/>
      <c r="R55" s="91">
        <f>ROUND((R51*2.9%),0)</f>
        <v>0</v>
      </c>
      <c r="T55" s="102" t="s">
        <v>305</v>
      </c>
      <c r="U55" s="86">
        <v>0</v>
      </c>
    </row>
    <row r="56" spans="2:21" ht="117.75" customHeight="1">
      <c r="B56" s="129">
        <v>119</v>
      </c>
      <c r="C56" s="129" t="s">
        <v>32</v>
      </c>
      <c r="D56" s="71" t="s">
        <v>215</v>
      </c>
      <c r="E56" s="129">
        <v>0.2</v>
      </c>
      <c r="F56" s="74">
        <f>F52</f>
        <v>18740412.080000002</v>
      </c>
      <c r="G56" s="132">
        <f>ROUND((F56*0.2%),0)+280+5242-4961-919+12+3245+53-104+3611+210-66-2750+312</f>
        <v>41646</v>
      </c>
      <c r="H56" s="223" t="s">
        <v>9</v>
      </c>
      <c r="I56" s="223"/>
      <c r="J56" s="223" t="s">
        <v>9</v>
      </c>
      <c r="K56" s="223"/>
      <c r="L56" s="150" t="s">
        <v>9</v>
      </c>
      <c r="M56" s="150" t="s">
        <v>9</v>
      </c>
      <c r="N56" s="150" t="s">
        <v>9</v>
      </c>
      <c r="O56" s="83"/>
      <c r="R56" s="91">
        <f>ROUND((R51*0.2%),0)</f>
        <v>0</v>
      </c>
      <c r="T56" s="102" t="s">
        <v>299</v>
      </c>
      <c r="U56" s="102">
        <v>28408</v>
      </c>
    </row>
    <row r="57" spans="2:21" ht="114.75" customHeight="1">
      <c r="B57" s="129">
        <v>119</v>
      </c>
      <c r="C57" s="129" t="s">
        <v>182</v>
      </c>
      <c r="D57" s="85" t="s">
        <v>33</v>
      </c>
      <c r="E57" s="129">
        <v>5.0999999999999996</v>
      </c>
      <c r="F57" s="74">
        <f>F52</f>
        <v>18740412.080000002</v>
      </c>
      <c r="G57" s="75">
        <f>ROUND((F57*5.1%),0)+7137+133665-0.7-126496+23442+310.8+82748+1349+0.27-2657.27+92087+5350-1689-70117+7967.01</f>
        <v>1108857.1100000001</v>
      </c>
      <c r="H57" s="253" t="s">
        <v>9</v>
      </c>
      <c r="I57" s="253"/>
      <c r="J57" s="253" t="s">
        <v>9</v>
      </c>
      <c r="K57" s="253"/>
      <c r="L57" s="150" t="s">
        <v>9</v>
      </c>
      <c r="M57" s="150" t="s">
        <v>9</v>
      </c>
      <c r="N57" s="150" t="s">
        <v>9</v>
      </c>
      <c r="O57" s="83"/>
      <c r="R57" s="91">
        <f>ROUND((R51*5.1%),0)</f>
        <v>0</v>
      </c>
      <c r="T57" s="102" t="s">
        <v>7</v>
      </c>
      <c r="U57" s="153">
        <f>SUM(U53:U56)</f>
        <v>5689855.5899999999</v>
      </c>
    </row>
    <row r="58" spans="2:21" ht="15.75">
      <c r="B58" s="71"/>
      <c r="C58" s="71"/>
      <c r="D58" s="92" t="s">
        <v>23</v>
      </c>
      <c r="E58" s="131" t="s">
        <v>9</v>
      </c>
      <c r="F58" s="131" t="s">
        <v>9</v>
      </c>
      <c r="G58" s="145">
        <f>G57+G54+G51</f>
        <v>5689855.5899999999</v>
      </c>
      <c r="H58" s="250">
        <f>U54+U55</f>
        <v>5661447.5899999999</v>
      </c>
      <c r="I58" s="250"/>
      <c r="J58" s="251">
        <f>U53</f>
        <v>0</v>
      </c>
      <c r="K58" s="251"/>
      <c r="L58" s="76">
        <v>0</v>
      </c>
      <c r="M58" s="76">
        <f>U56</f>
        <v>28408</v>
      </c>
      <c r="N58" s="76">
        <v>0</v>
      </c>
      <c r="O58" s="94"/>
      <c r="P58" s="94"/>
      <c r="Q58" s="142">
        <f>H58+J58+L58+M58</f>
        <v>5689855.5899999999</v>
      </c>
      <c r="R58" s="154"/>
      <c r="S58" s="183">
        <f>Q58-G58</f>
        <v>0</v>
      </c>
      <c r="T58" s="102"/>
      <c r="U58" s="102" t="b">
        <f>G58=U57</f>
        <v>1</v>
      </c>
    </row>
    <row r="59" spans="2:21" ht="15" customHeight="1">
      <c r="N59" s="138"/>
      <c r="Q59" s="82" t="b">
        <f>G58=Q58</f>
        <v>1</v>
      </c>
      <c r="T59" s="102"/>
      <c r="U59" s="153">
        <f>U57-G58</f>
        <v>0</v>
      </c>
    </row>
    <row r="60" spans="2:21" ht="36" customHeight="1">
      <c r="B60" s="252" t="s">
        <v>216</v>
      </c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94"/>
      <c r="O60" s="155"/>
      <c r="P60" s="155"/>
      <c r="Q60" s="155"/>
      <c r="R60" s="155"/>
      <c r="T60" s="102"/>
      <c r="U60" s="102"/>
    </row>
    <row r="61" spans="2:21" ht="15" customHeight="1">
      <c r="T61" s="102"/>
      <c r="U61" s="102"/>
    </row>
    <row r="62" spans="2:21" ht="24" customHeight="1">
      <c r="B62" s="70"/>
      <c r="C62" s="222" t="s">
        <v>251</v>
      </c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70"/>
      <c r="O62" s="70"/>
      <c r="P62" s="70"/>
    </row>
    <row r="63" spans="2:21" ht="15.75" customHeight="1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</row>
    <row r="64" spans="2:21" ht="38.25" customHeight="1">
      <c r="B64" s="217" t="s">
        <v>191</v>
      </c>
      <c r="C64" s="217" t="s">
        <v>2</v>
      </c>
      <c r="D64" s="217" t="s">
        <v>3</v>
      </c>
      <c r="E64" s="217" t="s">
        <v>217</v>
      </c>
      <c r="F64" s="217" t="s">
        <v>218</v>
      </c>
      <c r="G64" s="122" t="s">
        <v>219</v>
      </c>
      <c r="H64" s="217" t="s">
        <v>193</v>
      </c>
      <c r="I64" s="217"/>
      <c r="J64" s="217"/>
      <c r="K64" s="217"/>
      <c r="L64" s="217"/>
      <c r="M64" s="217"/>
      <c r="N64" s="217"/>
      <c r="O64" s="156"/>
      <c r="P64" s="156"/>
      <c r="Q64" s="156"/>
      <c r="R64" s="156"/>
    </row>
    <row r="65" spans="2:18" ht="84" customHeight="1">
      <c r="B65" s="217"/>
      <c r="C65" s="217"/>
      <c r="D65" s="217"/>
      <c r="E65" s="217"/>
      <c r="F65" s="217"/>
      <c r="G65" s="217" t="s">
        <v>240</v>
      </c>
      <c r="H65" s="217" t="s">
        <v>194</v>
      </c>
      <c r="I65" s="217"/>
      <c r="J65" s="237" t="s">
        <v>195</v>
      </c>
      <c r="K65" s="237"/>
      <c r="L65" s="223" t="s">
        <v>196</v>
      </c>
      <c r="M65" s="223" t="s">
        <v>197</v>
      </c>
      <c r="N65" s="223"/>
      <c r="O65" s="156"/>
      <c r="P65" s="156"/>
      <c r="Q65" s="156"/>
      <c r="R65" s="156"/>
    </row>
    <row r="66" spans="2:18" ht="35.25" customHeight="1">
      <c r="B66" s="217"/>
      <c r="C66" s="217"/>
      <c r="D66" s="217"/>
      <c r="E66" s="217"/>
      <c r="F66" s="217"/>
      <c r="G66" s="217"/>
      <c r="H66" s="217"/>
      <c r="I66" s="217"/>
      <c r="J66" s="237"/>
      <c r="K66" s="237"/>
      <c r="L66" s="223"/>
      <c r="M66" s="129" t="s">
        <v>14</v>
      </c>
      <c r="N66" s="129" t="s">
        <v>198</v>
      </c>
      <c r="O66" s="149"/>
      <c r="P66" s="149"/>
      <c r="Q66" s="156"/>
      <c r="R66" s="156"/>
    </row>
    <row r="67" spans="2:18" ht="15.75" customHeight="1">
      <c r="B67" s="122">
        <v>1</v>
      </c>
      <c r="C67" s="122">
        <v>2</v>
      </c>
      <c r="D67" s="122">
        <v>3</v>
      </c>
      <c r="E67" s="122">
        <v>4</v>
      </c>
      <c r="F67" s="122">
        <v>5</v>
      </c>
      <c r="G67" s="122">
        <v>6</v>
      </c>
      <c r="H67" s="217">
        <v>7</v>
      </c>
      <c r="I67" s="217"/>
      <c r="J67" s="217">
        <v>8</v>
      </c>
      <c r="K67" s="217"/>
      <c r="L67" s="129">
        <v>9</v>
      </c>
      <c r="M67" s="129">
        <v>10</v>
      </c>
      <c r="N67" s="129">
        <v>11</v>
      </c>
      <c r="O67" s="149"/>
      <c r="P67" s="149"/>
      <c r="Q67" s="156"/>
      <c r="R67" s="156"/>
    </row>
    <row r="68" spans="2:18" ht="15.75" customHeight="1">
      <c r="B68" s="124"/>
      <c r="C68" s="157"/>
      <c r="D68" s="85"/>
      <c r="E68" s="101">
        <v>1</v>
      </c>
      <c r="F68" s="80">
        <v>0</v>
      </c>
      <c r="G68" s="80">
        <f>F68</f>
        <v>0</v>
      </c>
      <c r="H68" s="217" t="s">
        <v>9</v>
      </c>
      <c r="I68" s="217"/>
      <c r="J68" s="217" t="s">
        <v>9</v>
      </c>
      <c r="K68" s="217"/>
      <c r="L68" s="129" t="s">
        <v>9</v>
      </c>
      <c r="M68" s="129" t="s">
        <v>9</v>
      </c>
      <c r="N68" s="129" t="s">
        <v>9</v>
      </c>
      <c r="O68" s="149"/>
      <c r="P68" s="149"/>
      <c r="Q68" s="156"/>
      <c r="R68" s="156"/>
    </row>
    <row r="69" spans="2:18" ht="15.75">
      <c r="B69" s="122"/>
      <c r="C69" s="85"/>
      <c r="D69" s="95" t="s">
        <v>23</v>
      </c>
      <c r="E69" s="127" t="s">
        <v>9</v>
      </c>
      <c r="F69" s="127" t="s">
        <v>9</v>
      </c>
      <c r="G69" s="176">
        <f>SUM(G68)</f>
        <v>0</v>
      </c>
      <c r="H69" s="230">
        <f>G69</f>
        <v>0</v>
      </c>
      <c r="I69" s="228"/>
      <c r="J69" s="228"/>
      <c r="K69" s="228"/>
      <c r="L69" s="131"/>
      <c r="M69" s="131"/>
      <c r="N69" s="131"/>
      <c r="O69" s="156"/>
      <c r="P69" s="156"/>
      <c r="Q69" s="156"/>
      <c r="R69" s="156"/>
    </row>
    <row r="70" spans="2:18" ht="15" customHeight="1">
      <c r="N70" s="138"/>
    </row>
    <row r="71" spans="2:18" ht="24" customHeight="1">
      <c r="B71" s="70"/>
      <c r="C71" s="222" t="s">
        <v>249</v>
      </c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70"/>
      <c r="P71" s="70"/>
    </row>
    <row r="72" spans="2:18" ht="5.25" customHeight="1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</row>
    <row r="73" spans="2:18" ht="21.75" customHeight="1">
      <c r="B73" s="70"/>
      <c r="C73" s="222" t="s">
        <v>257</v>
      </c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70"/>
      <c r="P73" s="70"/>
    </row>
    <row r="74" spans="2:18" ht="15.75" customHeight="1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</row>
    <row r="75" spans="2:18" ht="21" customHeight="1">
      <c r="B75" s="217" t="s">
        <v>191</v>
      </c>
      <c r="C75" s="217" t="s">
        <v>2</v>
      </c>
      <c r="D75" s="217" t="s">
        <v>24</v>
      </c>
      <c r="E75" s="231" t="s">
        <v>220</v>
      </c>
      <c r="F75" s="232"/>
      <c r="G75" s="217" t="s">
        <v>221</v>
      </c>
      <c r="H75" s="238" t="s">
        <v>250</v>
      </c>
      <c r="I75" s="217" t="s">
        <v>193</v>
      </c>
      <c r="J75" s="217"/>
      <c r="K75" s="217"/>
      <c r="L75" s="217"/>
      <c r="M75" s="217"/>
      <c r="N75" s="217"/>
      <c r="O75" s="217"/>
      <c r="P75" s="156"/>
      <c r="Q75" s="156"/>
      <c r="R75" s="156"/>
    </row>
    <row r="76" spans="2:18" ht="81" customHeight="1">
      <c r="B76" s="217"/>
      <c r="C76" s="217"/>
      <c r="D76" s="217"/>
      <c r="E76" s="233"/>
      <c r="F76" s="234"/>
      <c r="G76" s="217"/>
      <c r="H76" s="239"/>
      <c r="I76" s="217" t="s">
        <v>194</v>
      </c>
      <c r="J76" s="217"/>
      <c r="K76" s="237" t="s">
        <v>195</v>
      </c>
      <c r="L76" s="237"/>
      <c r="M76" s="223" t="s">
        <v>196</v>
      </c>
      <c r="N76" s="223" t="s">
        <v>197</v>
      </c>
      <c r="O76" s="223"/>
      <c r="P76" s="83"/>
      <c r="Q76" s="156"/>
      <c r="R76" s="156"/>
    </row>
    <row r="77" spans="2:18" ht="31.5">
      <c r="B77" s="217"/>
      <c r="C77" s="217"/>
      <c r="D77" s="217"/>
      <c r="E77" s="235"/>
      <c r="F77" s="236"/>
      <c r="G77" s="217"/>
      <c r="H77" s="123" t="s">
        <v>240</v>
      </c>
      <c r="I77" s="217"/>
      <c r="J77" s="217"/>
      <c r="K77" s="237"/>
      <c r="L77" s="237"/>
      <c r="M77" s="223"/>
      <c r="N77" s="129" t="s">
        <v>14</v>
      </c>
      <c r="O77" s="129" t="s">
        <v>198</v>
      </c>
      <c r="P77" s="83"/>
      <c r="Q77" s="149"/>
      <c r="R77" s="149"/>
    </row>
    <row r="78" spans="2:18" ht="15.75" customHeight="1">
      <c r="B78" s="122">
        <v>1</v>
      </c>
      <c r="C78" s="122">
        <v>2</v>
      </c>
      <c r="D78" s="122">
        <v>3</v>
      </c>
      <c r="E78" s="99">
        <v>4</v>
      </c>
      <c r="F78" s="84"/>
      <c r="G78" s="122">
        <v>5</v>
      </c>
      <c r="H78" s="126">
        <v>7</v>
      </c>
      <c r="I78" s="217">
        <v>8</v>
      </c>
      <c r="J78" s="217"/>
      <c r="K78" s="217">
        <v>9</v>
      </c>
      <c r="L78" s="217"/>
      <c r="M78" s="129">
        <v>10</v>
      </c>
      <c r="N78" s="129">
        <v>11</v>
      </c>
      <c r="O78" s="129">
        <v>12</v>
      </c>
      <c r="P78" s="83"/>
      <c r="Q78" s="149"/>
      <c r="R78" s="149"/>
    </row>
    <row r="79" spans="2:18" ht="31.5">
      <c r="B79" s="122">
        <v>851</v>
      </c>
      <c r="C79" s="122" t="s">
        <v>199</v>
      </c>
      <c r="D79" s="85" t="s">
        <v>268</v>
      </c>
      <c r="E79" s="248">
        <f>ROUND((H79*100/G79),0)</f>
        <v>8854545</v>
      </c>
      <c r="F79" s="249"/>
      <c r="G79" s="122">
        <v>2.2000000000000002</v>
      </c>
      <c r="H79" s="128">
        <v>194800</v>
      </c>
      <c r="I79" s="218" t="s">
        <v>9</v>
      </c>
      <c r="J79" s="219"/>
      <c r="K79" s="218" t="s">
        <v>9</v>
      </c>
      <c r="L79" s="219"/>
      <c r="M79" s="126" t="s">
        <v>9</v>
      </c>
      <c r="N79" s="122" t="s">
        <v>9</v>
      </c>
      <c r="O79" s="122" t="s">
        <v>9</v>
      </c>
      <c r="Q79" s="82">
        <f>E79*G79%</f>
        <v>194799.99000000002</v>
      </c>
    </row>
    <row r="80" spans="2:18" ht="15.75">
      <c r="B80" s="122">
        <v>851</v>
      </c>
      <c r="C80" s="122" t="s">
        <v>177</v>
      </c>
      <c r="D80" s="85" t="s">
        <v>269</v>
      </c>
      <c r="E80" s="218">
        <v>10894685</v>
      </c>
      <c r="F80" s="219"/>
      <c r="G80" s="122">
        <v>1.5</v>
      </c>
      <c r="H80" s="158">
        <v>0</v>
      </c>
      <c r="I80" s="218" t="s">
        <v>9</v>
      </c>
      <c r="J80" s="219"/>
      <c r="K80" s="218" t="s">
        <v>9</v>
      </c>
      <c r="L80" s="219"/>
      <c r="M80" s="126" t="s">
        <v>9</v>
      </c>
      <c r="N80" s="122" t="s">
        <v>9</v>
      </c>
      <c r="O80" s="122" t="s">
        <v>9</v>
      </c>
    </row>
    <row r="81" spans="2:18" ht="15.75">
      <c r="B81" s="122"/>
      <c r="C81" s="85"/>
      <c r="D81" s="95" t="s">
        <v>23</v>
      </c>
      <c r="E81" s="244" t="s">
        <v>9</v>
      </c>
      <c r="F81" s="245"/>
      <c r="G81" s="127" t="s">
        <v>9</v>
      </c>
      <c r="H81" s="159">
        <f>SUM(H79:H80)</f>
        <v>194800</v>
      </c>
      <c r="I81" s="246">
        <f>H81</f>
        <v>194800</v>
      </c>
      <c r="J81" s="247"/>
      <c r="K81" s="227">
        <v>0</v>
      </c>
      <c r="L81" s="227"/>
      <c r="M81" s="76">
        <v>0</v>
      </c>
      <c r="N81" s="76">
        <v>0</v>
      </c>
      <c r="O81" s="76">
        <v>0</v>
      </c>
      <c r="P81" s="160"/>
      <c r="Q81" s="81" t="s">
        <v>326</v>
      </c>
      <c r="R81" s="156"/>
    </row>
    <row r="82" spans="2:18" ht="15" customHeight="1">
      <c r="O82" s="138"/>
      <c r="P82" s="138"/>
      <c r="Q82" s="138"/>
      <c r="R82" s="138"/>
    </row>
    <row r="83" spans="2:18" ht="21" customHeight="1">
      <c r="B83" s="70"/>
      <c r="C83" s="222" t="s">
        <v>258</v>
      </c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70"/>
      <c r="O83" s="70"/>
      <c r="P83" s="70"/>
    </row>
    <row r="84" spans="2:18" ht="15.75" customHeight="1"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</row>
    <row r="85" spans="2:18" ht="31.5" customHeight="1">
      <c r="B85" s="217" t="s">
        <v>191</v>
      </c>
      <c r="C85" s="217" t="s">
        <v>2</v>
      </c>
      <c r="D85" s="217" t="s">
        <v>24</v>
      </c>
      <c r="E85" s="238" t="s">
        <v>222</v>
      </c>
      <c r="F85" s="217" t="s">
        <v>193</v>
      </c>
      <c r="G85" s="217"/>
      <c r="H85" s="217"/>
      <c r="I85" s="217"/>
      <c r="J85" s="217"/>
      <c r="K85" s="217"/>
      <c r="L85" s="217"/>
      <c r="M85" s="156"/>
      <c r="N85" s="156"/>
      <c r="O85" s="156"/>
      <c r="P85" s="156"/>
    </row>
    <row r="86" spans="2:18" ht="99" customHeight="1">
      <c r="B86" s="217"/>
      <c r="C86" s="217"/>
      <c r="D86" s="217"/>
      <c r="E86" s="242"/>
      <c r="F86" s="217" t="s">
        <v>194</v>
      </c>
      <c r="G86" s="217"/>
      <c r="H86" s="237" t="s">
        <v>195</v>
      </c>
      <c r="I86" s="237"/>
      <c r="J86" s="223" t="s">
        <v>196</v>
      </c>
      <c r="K86" s="223" t="s">
        <v>197</v>
      </c>
      <c r="L86" s="223"/>
      <c r="M86" s="156"/>
      <c r="N86" s="243"/>
      <c r="O86" s="243"/>
      <c r="P86" s="149"/>
    </row>
    <row r="87" spans="2:18" ht="31.5">
      <c r="B87" s="217"/>
      <c r="C87" s="217"/>
      <c r="D87" s="217"/>
      <c r="E87" s="239"/>
      <c r="F87" s="217"/>
      <c r="G87" s="217"/>
      <c r="H87" s="237"/>
      <c r="I87" s="237"/>
      <c r="J87" s="223"/>
      <c r="K87" s="129" t="s">
        <v>14</v>
      </c>
      <c r="L87" s="129" t="s">
        <v>198</v>
      </c>
      <c r="M87" s="156"/>
      <c r="N87" s="149"/>
      <c r="O87" s="149"/>
      <c r="P87" s="149"/>
    </row>
    <row r="88" spans="2:18" ht="15.75" customHeight="1">
      <c r="B88" s="122">
        <v>1</v>
      </c>
      <c r="C88" s="122">
        <v>2</v>
      </c>
      <c r="D88" s="122">
        <v>3</v>
      </c>
      <c r="E88" s="122">
        <v>4</v>
      </c>
      <c r="F88" s="217">
        <v>5</v>
      </c>
      <c r="G88" s="217"/>
      <c r="H88" s="217">
        <v>6</v>
      </c>
      <c r="I88" s="217"/>
      <c r="J88" s="129">
        <v>7</v>
      </c>
      <c r="K88" s="129">
        <v>8</v>
      </c>
      <c r="L88" s="129">
        <v>9</v>
      </c>
      <c r="M88" s="156"/>
      <c r="N88" s="149"/>
      <c r="O88" s="149"/>
      <c r="P88" s="149"/>
    </row>
    <row r="89" spans="2:18" ht="31.5" hidden="1">
      <c r="B89" s="85">
        <v>852</v>
      </c>
      <c r="C89" s="122">
        <v>1</v>
      </c>
      <c r="D89" s="85" t="s">
        <v>386</v>
      </c>
      <c r="E89" s="122"/>
      <c r="F89" s="217" t="s">
        <v>9</v>
      </c>
      <c r="G89" s="217"/>
      <c r="H89" s="217" t="s">
        <v>9</v>
      </c>
      <c r="I89" s="217"/>
      <c r="J89" s="129" t="s">
        <v>9</v>
      </c>
      <c r="K89" s="129" t="s">
        <v>9</v>
      </c>
      <c r="L89" s="129" t="s">
        <v>9</v>
      </c>
      <c r="M89" s="156"/>
      <c r="N89" s="149"/>
      <c r="O89" s="149"/>
      <c r="P89" s="149"/>
    </row>
    <row r="90" spans="2:18" ht="15.75" customHeight="1">
      <c r="B90" s="85"/>
      <c r="C90" s="95"/>
      <c r="D90" s="95" t="s">
        <v>23</v>
      </c>
      <c r="E90" s="125">
        <f>SUM(E89)</f>
        <v>0</v>
      </c>
      <c r="F90" s="227">
        <v>0</v>
      </c>
      <c r="G90" s="228"/>
      <c r="H90" s="227">
        <v>0</v>
      </c>
      <c r="I90" s="227"/>
      <c r="J90" s="76">
        <v>0</v>
      </c>
      <c r="K90" s="76">
        <v>0</v>
      </c>
      <c r="L90" s="76">
        <v>0</v>
      </c>
      <c r="M90" s="156"/>
      <c r="N90" s="156"/>
      <c r="O90" s="156"/>
      <c r="P90" s="156"/>
      <c r="Q90" s="81" t="s">
        <v>327</v>
      </c>
    </row>
    <row r="91" spans="2:18" ht="15.75"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</row>
    <row r="92" spans="2:18" ht="15.75" customHeight="1">
      <c r="B92" s="70"/>
      <c r="C92" s="241" t="s">
        <v>259</v>
      </c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70"/>
      <c r="O92" s="70"/>
      <c r="P92" s="70"/>
    </row>
    <row r="93" spans="2:18" ht="15.75"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</row>
    <row r="94" spans="2:18" ht="31.5" customHeight="1">
      <c r="B94" s="217" t="s">
        <v>191</v>
      </c>
      <c r="C94" s="217" t="s">
        <v>2</v>
      </c>
      <c r="D94" s="217" t="s">
        <v>24</v>
      </c>
      <c r="E94" s="238" t="s">
        <v>222</v>
      </c>
      <c r="F94" s="217" t="s">
        <v>193</v>
      </c>
      <c r="G94" s="217"/>
      <c r="H94" s="217"/>
      <c r="I94" s="217"/>
      <c r="J94" s="217"/>
      <c r="K94" s="217"/>
      <c r="L94" s="217"/>
      <c r="M94" s="156"/>
      <c r="N94" s="156"/>
      <c r="O94" s="156"/>
      <c r="P94" s="156"/>
    </row>
    <row r="95" spans="2:18" ht="99" customHeight="1">
      <c r="B95" s="217"/>
      <c r="C95" s="217"/>
      <c r="D95" s="217"/>
      <c r="E95" s="242"/>
      <c r="F95" s="217" t="s">
        <v>194</v>
      </c>
      <c r="G95" s="217"/>
      <c r="H95" s="237" t="s">
        <v>195</v>
      </c>
      <c r="I95" s="237"/>
      <c r="J95" s="223" t="s">
        <v>196</v>
      </c>
      <c r="K95" s="223" t="s">
        <v>197</v>
      </c>
      <c r="L95" s="223"/>
      <c r="M95" s="156"/>
      <c r="N95" s="243"/>
      <c r="O95" s="243"/>
      <c r="P95" s="149"/>
    </row>
    <row r="96" spans="2:18" ht="31.5" customHeight="1">
      <c r="B96" s="217"/>
      <c r="C96" s="217"/>
      <c r="D96" s="217"/>
      <c r="E96" s="239"/>
      <c r="F96" s="217"/>
      <c r="G96" s="217"/>
      <c r="H96" s="237"/>
      <c r="I96" s="237"/>
      <c r="J96" s="223"/>
      <c r="K96" s="129" t="s">
        <v>14</v>
      </c>
      <c r="L96" s="129" t="s">
        <v>198</v>
      </c>
      <c r="M96" s="156"/>
      <c r="N96" s="149"/>
      <c r="O96" s="149"/>
      <c r="P96" s="149"/>
      <c r="Q96" s="81" t="s">
        <v>328</v>
      </c>
    </row>
    <row r="97" spans="2:19" ht="15.75">
      <c r="B97" s="122">
        <v>1</v>
      </c>
      <c r="C97" s="122">
        <v>2</v>
      </c>
      <c r="D97" s="122">
        <v>3</v>
      </c>
      <c r="E97" s="122">
        <v>4</v>
      </c>
      <c r="F97" s="217">
        <v>5</v>
      </c>
      <c r="G97" s="217"/>
      <c r="H97" s="217">
        <v>6</v>
      </c>
      <c r="I97" s="217"/>
      <c r="J97" s="129">
        <v>7</v>
      </c>
      <c r="K97" s="129">
        <v>8</v>
      </c>
      <c r="L97" s="129">
        <v>9</v>
      </c>
      <c r="M97" s="156"/>
      <c r="N97" s="149"/>
      <c r="O97" s="149"/>
      <c r="P97" s="149"/>
    </row>
    <row r="98" spans="2:19" ht="34.5" hidden="1" customHeight="1">
      <c r="B98" s="122">
        <v>853</v>
      </c>
      <c r="C98" s="122" t="s">
        <v>199</v>
      </c>
      <c r="D98" s="120" t="s">
        <v>270</v>
      </c>
      <c r="E98" s="78">
        <v>0</v>
      </c>
      <c r="F98" s="217" t="s">
        <v>9</v>
      </c>
      <c r="G98" s="217"/>
      <c r="H98" s="217" t="s">
        <v>9</v>
      </c>
      <c r="I98" s="217"/>
      <c r="J98" s="129" t="s">
        <v>9</v>
      </c>
      <c r="K98" s="129" t="s">
        <v>9</v>
      </c>
      <c r="L98" s="129" t="s">
        <v>9</v>
      </c>
      <c r="M98" s="156"/>
      <c r="N98" s="149"/>
      <c r="O98" s="149"/>
      <c r="P98" s="149"/>
      <c r="Q98" s="81" t="s">
        <v>303</v>
      </c>
      <c r="R98" s="81"/>
      <c r="S98" s="161">
        <f>E99+E90+H81</f>
        <v>194800</v>
      </c>
    </row>
    <row r="99" spans="2:19" ht="15.75">
      <c r="B99" s="122"/>
      <c r="C99" s="95"/>
      <c r="D99" s="95" t="s">
        <v>23</v>
      </c>
      <c r="E99" s="125">
        <f>SUM(E98)</f>
        <v>0</v>
      </c>
      <c r="F99" s="227">
        <f>E99</f>
        <v>0</v>
      </c>
      <c r="G99" s="228"/>
      <c r="H99" s="227">
        <v>0</v>
      </c>
      <c r="I99" s="227"/>
      <c r="J99" s="76">
        <v>0</v>
      </c>
      <c r="K99" s="76">
        <v>0</v>
      </c>
      <c r="L99" s="76">
        <v>0</v>
      </c>
      <c r="M99" s="156"/>
      <c r="N99" s="156"/>
      <c r="O99" s="156"/>
      <c r="P99" s="156"/>
    </row>
    <row r="100" spans="2:19" ht="15" customHeight="1">
      <c r="L100" s="138"/>
    </row>
    <row r="101" spans="2:19" ht="24.75" customHeight="1">
      <c r="B101" s="70"/>
      <c r="C101" s="222" t="s">
        <v>289</v>
      </c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70"/>
      <c r="O101" s="70"/>
    </row>
    <row r="102" spans="2:19" ht="7.5" customHeight="1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</row>
    <row r="103" spans="2:19" ht="23.25" customHeight="1">
      <c r="B103" s="70"/>
      <c r="C103" s="222" t="s">
        <v>290</v>
      </c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70"/>
      <c r="O103" s="70"/>
    </row>
    <row r="104" spans="2:19" ht="15.7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</row>
    <row r="105" spans="2:19" ht="31.5" customHeight="1">
      <c r="B105" s="217" t="s">
        <v>191</v>
      </c>
      <c r="C105" s="217" t="s">
        <v>2</v>
      </c>
      <c r="D105" s="217" t="s">
        <v>3</v>
      </c>
      <c r="E105" s="217" t="s">
        <v>223</v>
      </c>
      <c r="F105" s="217" t="s">
        <v>224</v>
      </c>
      <c r="G105" s="122" t="s">
        <v>225</v>
      </c>
      <c r="H105" s="217" t="s">
        <v>193</v>
      </c>
      <c r="I105" s="217"/>
      <c r="J105" s="217"/>
      <c r="K105" s="217"/>
      <c r="L105" s="217"/>
      <c r="M105" s="217"/>
      <c r="N105" s="217"/>
      <c r="O105" s="217"/>
    </row>
    <row r="106" spans="2:19" ht="99" customHeight="1">
      <c r="B106" s="217"/>
      <c r="C106" s="217"/>
      <c r="D106" s="217"/>
      <c r="E106" s="217"/>
      <c r="F106" s="217"/>
      <c r="G106" s="217" t="s">
        <v>240</v>
      </c>
      <c r="H106" s="217" t="s">
        <v>194</v>
      </c>
      <c r="I106" s="217"/>
      <c r="J106" s="237" t="s">
        <v>195</v>
      </c>
      <c r="K106" s="237"/>
      <c r="L106" s="217" t="s">
        <v>196</v>
      </c>
      <c r="M106" s="217"/>
      <c r="N106" s="217" t="s">
        <v>197</v>
      </c>
      <c r="O106" s="217"/>
    </row>
    <row r="107" spans="2:19" ht="31.5">
      <c r="B107" s="217"/>
      <c r="C107" s="217"/>
      <c r="D107" s="217"/>
      <c r="E107" s="217"/>
      <c r="F107" s="217"/>
      <c r="G107" s="217"/>
      <c r="H107" s="217"/>
      <c r="I107" s="217"/>
      <c r="J107" s="237"/>
      <c r="K107" s="237"/>
      <c r="L107" s="217"/>
      <c r="M107" s="217"/>
      <c r="N107" s="122" t="s">
        <v>14</v>
      </c>
      <c r="O107" s="122" t="s">
        <v>198</v>
      </c>
    </row>
    <row r="108" spans="2:19" ht="15.75">
      <c r="B108" s="122">
        <v>1</v>
      </c>
      <c r="C108" s="122">
        <v>2</v>
      </c>
      <c r="D108" s="122">
        <v>3</v>
      </c>
      <c r="E108" s="122">
        <v>4</v>
      </c>
      <c r="F108" s="122">
        <v>5</v>
      </c>
      <c r="G108" s="122">
        <v>6</v>
      </c>
      <c r="H108" s="217">
        <v>7</v>
      </c>
      <c r="I108" s="217"/>
      <c r="J108" s="217">
        <v>8</v>
      </c>
      <c r="K108" s="217"/>
      <c r="L108" s="217">
        <v>9</v>
      </c>
      <c r="M108" s="217"/>
      <c r="N108" s="122">
        <v>10</v>
      </c>
      <c r="O108" s="122">
        <v>11</v>
      </c>
    </row>
    <row r="109" spans="2:19" ht="15.75">
      <c r="B109" s="85"/>
      <c r="C109" s="122" t="s">
        <v>199</v>
      </c>
      <c r="D109" s="85"/>
      <c r="E109" s="122">
        <v>1</v>
      </c>
      <c r="F109" s="122"/>
      <c r="G109" s="80">
        <f>F109</f>
        <v>0</v>
      </c>
      <c r="H109" s="218" t="s">
        <v>9</v>
      </c>
      <c r="I109" s="219"/>
      <c r="J109" s="218" t="s">
        <v>9</v>
      </c>
      <c r="K109" s="219"/>
      <c r="L109" s="218" t="s">
        <v>9</v>
      </c>
      <c r="M109" s="219"/>
      <c r="N109" s="122" t="s">
        <v>9</v>
      </c>
      <c r="O109" s="122" t="s">
        <v>9</v>
      </c>
    </row>
    <row r="110" spans="2:19" ht="15.75">
      <c r="B110" s="85"/>
      <c r="C110" s="122"/>
      <c r="D110" s="95" t="s">
        <v>23</v>
      </c>
      <c r="E110" s="127" t="s">
        <v>9</v>
      </c>
      <c r="F110" s="127" t="s">
        <v>9</v>
      </c>
      <c r="G110" s="79">
        <f>SUM(G109)</f>
        <v>0</v>
      </c>
      <c r="H110" s="227">
        <v>0</v>
      </c>
      <c r="I110" s="227"/>
      <c r="J110" s="227">
        <v>0</v>
      </c>
      <c r="K110" s="227"/>
      <c r="L110" s="227">
        <v>0</v>
      </c>
      <c r="M110" s="227"/>
      <c r="N110" s="125">
        <v>0</v>
      </c>
      <c r="O110" s="125">
        <v>0</v>
      </c>
    </row>
    <row r="111" spans="2:19" ht="15.75"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</row>
    <row r="112" spans="2:19" ht="43.5" customHeight="1">
      <c r="B112" s="70"/>
      <c r="C112" s="222" t="s">
        <v>291</v>
      </c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70"/>
      <c r="O112" s="70"/>
    </row>
    <row r="113" spans="2:18" ht="17.25" customHeight="1">
      <c r="B113" s="70"/>
      <c r="C113" s="70"/>
      <c r="D113" s="70"/>
      <c r="E113" s="100"/>
      <c r="F113" s="77"/>
      <c r="G113" s="77"/>
      <c r="H113" s="77"/>
      <c r="I113" s="77"/>
      <c r="J113" s="77"/>
      <c r="K113" s="77"/>
      <c r="L113" s="77"/>
      <c r="M113" s="77"/>
      <c r="N113" s="70"/>
      <c r="O113" s="70"/>
    </row>
    <row r="114" spans="2:18" ht="63" customHeight="1">
      <c r="B114" s="217" t="s">
        <v>191</v>
      </c>
      <c r="C114" s="217" t="s">
        <v>2</v>
      </c>
      <c r="D114" s="217" t="s">
        <v>3</v>
      </c>
      <c r="E114" s="217" t="s">
        <v>217</v>
      </c>
      <c r="F114" s="217" t="s">
        <v>34</v>
      </c>
      <c r="G114" s="122" t="s">
        <v>219</v>
      </c>
      <c r="H114" s="217" t="s">
        <v>193</v>
      </c>
      <c r="I114" s="217"/>
      <c r="J114" s="217"/>
      <c r="K114" s="217"/>
      <c r="L114" s="217"/>
      <c r="M114" s="217"/>
      <c r="N114" s="217"/>
      <c r="O114" s="217"/>
    </row>
    <row r="115" spans="2:18" ht="99" customHeight="1">
      <c r="B115" s="217"/>
      <c r="C115" s="217"/>
      <c r="D115" s="217"/>
      <c r="E115" s="217"/>
      <c r="F115" s="217"/>
      <c r="G115" s="217" t="s">
        <v>240</v>
      </c>
      <c r="H115" s="217" t="s">
        <v>194</v>
      </c>
      <c r="I115" s="217"/>
      <c r="J115" s="237" t="s">
        <v>195</v>
      </c>
      <c r="K115" s="237"/>
      <c r="L115" s="217" t="s">
        <v>196</v>
      </c>
      <c r="M115" s="217"/>
      <c r="N115" s="217" t="s">
        <v>197</v>
      </c>
      <c r="O115" s="217"/>
    </row>
    <row r="116" spans="2:18" ht="31.5">
      <c r="B116" s="217"/>
      <c r="C116" s="217"/>
      <c r="D116" s="217"/>
      <c r="E116" s="217"/>
      <c r="F116" s="217"/>
      <c r="G116" s="217"/>
      <c r="H116" s="217"/>
      <c r="I116" s="217"/>
      <c r="J116" s="237"/>
      <c r="K116" s="237"/>
      <c r="L116" s="217"/>
      <c r="M116" s="217"/>
      <c r="N116" s="122" t="s">
        <v>14</v>
      </c>
      <c r="O116" s="122" t="s">
        <v>198</v>
      </c>
    </row>
    <row r="117" spans="2:18" ht="15.75">
      <c r="B117" s="122">
        <v>1</v>
      </c>
      <c r="C117" s="122">
        <v>2</v>
      </c>
      <c r="D117" s="122">
        <v>3</v>
      </c>
      <c r="E117" s="122">
        <v>4</v>
      </c>
      <c r="F117" s="122">
        <v>5</v>
      </c>
      <c r="G117" s="122">
        <v>6</v>
      </c>
      <c r="H117" s="217">
        <v>7</v>
      </c>
      <c r="I117" s="217"/>
      <c r="J117" s="217">
        <v>8</v>
      </c>
      <c r="K117" s="217"/>
      <c r="L117" s="217">
        <v>9</v>
      </c>
      <c r="M117" s="217"/>
      <c r="N117" s="122">
        <v>10</v>
      </c>
      <c r="O117" s="122">
        <v>11</v>
      </c>
    </row>
    <row r="118" spans="2:18" ht="18" customHeight="1">
      <c r="B118" s="85"/>
      <c r="C118" s="122" t="s">
        <v>199</v>
      </c>
      <c r="D118" s="85"/>
      <c r="E118" s="85"/>
      <c r="F118" s="85"/>
      <c r="G118" s="85"/>
      <c r="H118" s="217" t="s">
        <v>9</v>
      </c>
      <c r="I118" s="217"/>
      <c r="J118" s="217" t="s">
        <v>9</v>
      </c>
      <c r="K118" s="217"/>
      <c r="L118" s="217" t="s">
        <v>9</v>
      </c>
      <c r="M118" s="217"/>
      <c r="N118" s="122" t="s">
        <v>9</v>
      </c>
      <c r="O118" s="122" t="s">
        <v>9</v>
      </c>
    </row>
    <row r="119" spans="2:18" ht="15.75">
      <c r="B119" s="85"/>
      <c r="C119" s="122"/>
      <c r="D119" s="95" t="s">
        <v>23</v>
      </c>
      <c r="E119" s="127" t="s">
        <v>9</v>
      </c>
      <c r="F119" s="127" t="s">
        <v>9</v>
      </c>
      <c r="G119" s="125">
        <f>SUM(G118)</f>
        <v>0</v>
      </c>
      <c r="H119" s="227">
        <v>0</v>
      </c>
      <c r="I119" s="227"/>
      <c r="J119" s="227">
        <v>0</v>
      </c>
      <c r="K119" s="227"/>
      <c r="L119" s="227">
        <v>0</v>
      </c>
      <c r="M119" s="227"/>
      <c r="N119" s="125">
        <v>0</v>
      </c>
      <c r="O119" s="125">
        <v>0</v>
      </c>
    </row>
    <row r="120" spans="2:18" ht="33" customHeight="1">
      <c r="B120" s="70"/>
      <c r="C120" s="70"/>
      <c r="D120" s="70"/>
      <c r="E120" s="222" t="s">
        <v>292</v>
      </c>
      <c r="F120" s="241"/>
      <c r="G120" s="241"/>
      <c r="H120" s="241"/>
      <c r="I120" s="241"/>
      <c r="J120" s="241"/>
      <c r="K120" s="241"/>
      <c r="L120" s="241"/>
      <c r="M120" s="241"/>
      <c r="N120" s="70"/>
      <c r="O120" s="70"/>
      <c r="P120" s="70"/>
    </row>
    <row r="121" spans="2:18" ht="15.75" customHeight="1"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</row>
    <row r="122" spans="2:18" ht="15.75">
      <c r="B122" s="70"/>
      <c r="C122" s="70"/>
      <c r="D122" s="70"/>
      <c r="E122" s="241" t="s">
        <v>293</v>
      </c>
      <c r="F122" s="241"/>
      <c r="G122" s="241"/>
      <c r="H122" s="241"/>
      <c r="I122" s="241"/>
      <c r="J122" s="241"/>
      <c r="K122" s="241"/>
      <c r="L122" s="241"/>
      <c r="M122" s="241"/>
      <c r="N122" s="70"/>
      <c r="O122" s="70"/>
      <c r="P122" s="70"/>
    </row>
    <row r="123" spans="2:18" ht="15.75" customHeight="1"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</row>
    <row r="124" spans="2:18" ht="31.5" customHeight="1">
      <c r="B124" s="217" t="s">
        <v>191</v>
      </c>
      <c r="C124" s="217" t="s">
        <v>2</v>
      </c>
      <c r="D124" s="217" t="s">
        <v>24</v>
      </c>
      <c r="E124" s="217" t="s">
        <v>226</v>
      </c>
      <c r="F124" s="217" t="s">
        <v>227</v>
      </c>
      <c r="G124" s="217" t="s">
        <v>228</v>
      </c>
      <c r="H124" s="122" t="s">
        <v>208</v>
      </c>
      <c r="I124" s="217" t="s">
        <v>193</v>
      </c>
      <c r="J124" s="217"/>
      <c r="K124" s="217"/>
      <c r="L124" s="217"/>
      <c r="M124" s="217"/>
      <c r="N124" s="217"/>
      <c r="O124" s="217"/>
      <c r="P124" s="156"/>
      <c r="Q124" s="156"/>
      <c r="R124" s="156"/>
    </row>
    <row r="125" spans="2:18" ht="93.75" customHeight="1">
      <c r="B125" s="217"/>
      <c r="C125" s="217"/>
      <c r="D125" s="217"/>
      <c r="E125" s="217"/>
      <c r="F125" s="217"/>
      <c r="G125" s="217"/>
      <c r="H125" s="217" t="s">
        <v>245</v>
      </c>
      <c r="I125" s="217" t="s">
        <v>194</v>
      </c>
      <c r="J125" s="217"/>
      <c r="K125" s="237" t="s">
        <v>195</v>
      </c>
      <c r="L125" s="237"/>
      <c r="M125" s="223" t="s">
        <v>196</v>
      </c>
      <c r="N125" s="223" t="s">
        <v>197</v>
      </c>
      <c r="O125" s="223"/>
      <c r="P125" s="83"/>
      <c r="Q125" s="156"/>
      <c r="R125" s="156"/>
    </row>
    <row r="126" spans="2:18" ht="39" customHeight="1">
      <c r="B126" s="217"/>
      <c r="C126" s="217"/>
      <c r="D126" s="217"/>
      <c r="E126" s="217"/>
      <c r="F126" s="217"/>
      <c r="G126" s="217"/>
      <c r="H126" s="217"/>
      <c r="I126" s="217"/>
      <c r="J126" s="217"/>
      <c r="K126" s="237"/>
      <c r="L126" s="237"/>
      <c r="M126" s="223"/>
      <c r="N126" s="129" t="s">
        <v>14</v>
      </c>
      <c r="O126" s="129" t="s">
        <v>198</v>
      </c>
      <c r="P126" s="83"/>
      <c r="Q126" s="149"/>
      <c r="R126" s="149"/>
    </row>
    <row r="127" spans="2:18" ht="15.75" customHeight="1">
      <c r="B127" s="122">
        <v>1</v>
      </c>
      <c r="C127" s="122">
        <v>2</v>
      </c>
      <c r="D127" s="122">
        <v>3</v>
      </c>
      <c r="E127" s="122">
        <v>4</v>
      </c>
      <c r="F127" s="122">
        <v>5</v>
      </c>
      <c r="G127" s="122">
        <v>6</v>
      </c>
      <c r="H127" s="122">
        <v>7</v>
      </c>
      <c r="I127" s="217">
        <v>8</v>
      </c>
      <c r="J127" s="217"/>
      <c r="K127" s="217">
        <v>9</v>
      </c>
      <c r="L127" s="217"/>
      <c r="M127" s="129">
        <v>10</v>
      </c>
      <c r="N127" s="129">
        <v>11</v>
      </c>
      <c r="O127" s="129">
        <v>12</v>
      </c>
      <c r="P127" s="149"/>
      <c r="Q127" s="149"/>
      <c r="R127" s="149"/>
    </row>
    <row r="128" spans="2:18" ht="31.5">
      <c r="B128" s="122">
        <v>244</v>
      </c>
      <c r="C128" s="122" t="s">
        <v>199</v>
      </c>
      <c r="D128" s="85" t="s">
        <v>243</v>
      </c>
      <c r="E128" s="122">
        <v>1</v>
      </c>
      <c r="F128" s="122">
        <v>12</v>
      </c>
      <c r="G128" s="122">
        <f>ROUND((H128/E128/F128),1)</f>
        <v>691.7</v>
      </c>
      <c r="H128" s="80">
        <v>8300</v>
      </c>
      <c r="I128" s="217" t="s">
        <v>9</v>
      </c>
      <c r="J128" s="217"/>
      <c r="K128" s="217" t="s">
        <v>9</v>
      </c>
      <c r="L128" s="217"/>
      <c r="M128" s="129" t="s">
        <v>9</v>
      </c>
      <c r="N128" s="129" t="s">
        <v>9</v>
      </c>
      <c r="O128" s="129" t="s">
        <v>9</v>
      </c>
      <c r="P128" s="149"/>
      <c r="Q128" s="149"/>
      <c r="R128" s="149"/>
    </row>
    <row r="129" spans="2:18" ht="82.5" hidden="1" customHeight="1">
      <c r="B129" s="122">
        <v>244</v>
      </c>
      <c r="C129" s="122" t="s">
        <v>177</v>
      </c>
      <c r="D129" s="85" t="s">
        <v>244</v>
      </c>
      <c r="E129" s="122">
        <v>1</v>
      </c>
      <c r="F129" s="122">
        <v>12</v>
      </c>
      <c r="G129" s="122">
        <f>ROUND((H129/E129/F129),1)</f>
        <v>0</v>
      </c>
      <c r="H129" s="80">
        <v>0</v>
      </c>
      <c r="I129" s="217" t="s">
        <v>9</v>
      </c>
      <c r="J129" s="217"/>
      <c r="K129" s="217" t="s">
        <v>9</v>
      </c>
      <c r="L129" s="217"/>
      <c r="M129" s="129" t="s">
        <v>9</v>
      </c>
      <c r="N129" s="129" t="s">
        <v>9</v>
      </c>
      <c r="O129" s="129" t="s">
        <v>9</v>
      </c>
      <c r="P129" s="149"/>
      <c r="Q129" s="149"/>
      <c r="R129" s="149"/>
    </row>
    <row r="130" spans="2:18" s="162" customFormat="1" ht="15.75">
      <c r="B130" s="85"/>
      <c r="C130" s="127"/>
      <c r="D130" s="95" t="s">
        <v>23</v>
      </c>
      <c r="E130" s="127" t="s">
        <v>9</v>
      </c>
      <c r="F130" s="127" t="s">
        <v>9</v>
      </c>
      <c r="G130" s="127" t="s">
        <v>9</v>
      </c>
      <c r="H130" s="79">
        <f>SUM(H128:H129)</f>
        <v>8300</v>
      </c>
      <c r="I130" s="240">
        <f>H130</f>
        <v>8300</v>
      </c>
      <c r="J130" s="240"/>
      <c r="K130" s="227">
        <v>0</v>
      </c>
      <c r="L130" s="227"/>
      <c r="M130" s="76">
        <v>0</v>
      </c>
      <c r="N130" s="76">
        <v>0</v>
      </c>
      <c r="O130" s="76">
        <v>0</v>
      </c>
      <c r="P130" s="81"/>
      <c r="Q130" s="81" t="s">
        <v>304</v>
      </c>
      <c r="R130" s="81"/>
    </row>
    <row r="131" spans="2:18" ht="15" customHeight="1"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</row>
    <row r="132" spans="2:18" ht="23.25" customHeight="1">
      <c r="B132" s="70"/>
      <c r="C132" s="70"/>
      <c r="D132" s="70"/>
      <c r="E132" s="222" t="s">
        <v>294</v>
      </c>
      <c r="F132" s="241"/>
      <c r="G132" s="241"/>
      <c r="H132" s="241"/>
      <c r="I132" s="241"/>
      <c r="J132" s="241"/>
      <c r="K132" s="241"/>
      <c r="L132" s="241"/>
      <c r="M132" s="241"/>
      <c r="N132" s="70"/>
      <c r="O132" s="70"/>
      <c r="P132" s="70"/>
    </row>
    <row r="133" spans="2:18" ht="15.75" customHeight="1"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</row>
    <row r="134" spans="2:18" ht="31.5" customHeight="1">
      <c r="B134" s="217" t="s">
        <v>191</v>
      </c>
      <c r="C134" s="217" t="s">
        <v>2</v>
      </c>
      <c r="D134" s="217" t="s">
        <v>24</v>
      </c>
      <c r="E134" s="217" t="s">
        <v>35</v>
      </c>
      <c r="F134" s="217" t="s">
        <v>230</v>
      </c>
      <c r="G134" s="122" t="s">
        <v>208</v>
      </c>
      <c r="H134" s="217" t="s">
        <v>193</v>
      </c>
      <c r="I134" s="217"/>
      <c r="J134" s="217"/>
      <c r="K134" s="217"/>
      <c r="L134" s="217"/>
      <c r="M134" s="217"/>
      <c r="N134" s="217"/>
      <c r="O134" s="156"/>
      <c r="P134" s="156"/>
    </row>
    <row r="135" spans="2:18" ht="87.75" customHeight="1">
      <c r="B135" s="217"/>
      <c r="C135" s="217"/>
      <c r="D135" s="217"/>
      <c r="E135" s="217"/>
      <c r="F135" s="217"/>
      <c r="G135" s="217" t="s">
        <v>240</v>
      </c>
      <c r="H135" s="217" t="s">
        <v>194</v>
      </c>
      <c r="I135" s="217"/>
      <c r="J135" s="237" t="s">
        <v>195</v>
      </c>
      <c r="K135" s="237"/>
      <c r="L135" s="223" t="s">
        <v>196</v>
      </c>
      <c r="M135" s="223" t="s">
        <v>197</v>
      </c>
      <c r="N135" s="223"/>
      <c r="O135" s="156"/>
      <c r="P135" s="149"/>
    </row>
    <row r="136" spans="2:18" ht="36" customHeight="1">
      <c r="B136" s="217"/>
      <c r="C136" s="217"/>
      <c r="D136" s="217"/>
      <c r="E136" s="217"/>
      <c r="F136" s="217"/>
      <c r="G136" s="217"/>
      <c r="H136" s="217"/>
      <c r="I136" s="217"/>
      <c r="J136" s="237"/>
      <c r="K136" s="237"/>
      <c r="L136" s="223"/>
      <c r="M136" s="129" t="s">
        <v>14</v>
      </c>
      <c r="N136" s="129" t="s">
        <v>198</v>
      </c>
      <c r="O136" s="149"/>
      <c r="P136" s="149"/>
    </row>
    <row r="137" spans="2:18" ht="15.75" customHeight="1">
      <c r="B137" s="122">
        <v>1</v>
      </c>
      <c r="C137" s="122">
        <v>2</v>
      </c>
      <c r="D137" s="122">
        <v>3</v>
      </c>
      <c r="E137" s="122">
        <v>4</v>
      </c>
      <c r="F137" s="122">
        <v>5</v>
      </c>
      <c r="G137" s="122">
        <v>6</v>
      </c>
      <c r="H137" s="217">
        <v>7</v>
      </c>
      <c r="I137" s="217"/>
      <c r="J137" s="217">
        <v>8</v>
      </c>
      <c r="K137" s="217"/>
      <c r="L137" s="129">
        <v>9</v>
      </c>
      <c r="M137" s="129">
        <v>10</v>
      </c>
      <c r="N137" s="129">
        <v>11</v>
      </c>
      <c r="O137" s="149"/>
      <c r="P137" s="149"/>
    </row>
    <row r="138" spans="2:18" ht="15.75">
      <c r="B138" s="122"/>
      <c r="C138" s="122"/>
      <c r="D138" s="85"/>
      <c r="E138" s="78"/>
      <c r="F138" s="78"/>
      <c r="G138" s="78"/>
      <c r="H138" s="224" t="s">
        <v>9</v>
      </c>
      <c r="I138" s="224"/>
      <c r="J138" s="224" t="s">
        <v>9</v>
      </c>
      <c r="K138" s="224"/>
      <c r="L138" s="129" t="s">
        <v>9</v>
      </c>
      <c r="M138" s="129" t="s">
        <v>9</v>
      </c>
      <c r="N138" s="129" t="s">
        <v>9</v>
      </c>
      <c r="O138" s="163"/>
      <c r="P138" s="163"/>
    </row>
    <row r="139" spans="2:18" s="162" customFormat="1" ht="15.75" customHeight="1">
      <c r="B139" s="95"/>
      <c r="C139" s="95"/>
      <c r="D139" s="95" t="s">
        <v>23</v>
      </c>
      <c r="E139" s="125" t="s">
        <v>9</v>
      </c>
      <c r="F139" s="125" t="s">
        <v>9</v>
      </c>
      <c r="G139" s="125"/>
      <c r="H139" s="227"/>
      <c r="I139" s="227"/>
      <c r="J139" s="227"/>
      <c r="K139" s="227"/>
      <c r="L139" s="131"/>
      <c r="M139" s="131"/>
      <c r="N139" s="131"/>
      <c r="O139" s="81"/>
      <c r="P139" s="81"/>
      <c r="Q139" s="81" t="s">
        <v>307</v>
      </c>
      <c r="R139" s="81"/>
    </row>
    <row r="140" spans="2:18" ht="15.75"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</row>
    <row r="141" spans="2:18" ht="33" customHeight="1">
      <c r="B141" s="70"/>
      <c r="C141" s="70"/>
      <c r="D141" s="70"/>
      <c r="E141" s="222" t="s">
        <v>295</v>
      </c>
      <c r="F141" s="241"/>
      <c r="G141" s="241"/>
      <c r="H141" s="241"/>
      <c r="I141" s="241"/>
      <c r="J141" s="241"/>
      <c r="K141" s="241"/>
      <c r="L141" s="241"/>
      <c r="M141" s="241"/>
      <c r="N141" s="70"/>
      <c r="O141" s="70"/>
      <c r="P141" s="70"/>
    </row>
    <row r="142" spans="2:18" ht="15.75"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138"/>
      <c r="R142" s="138"/>
    </row>
    <row r="143" spans="2:18" ht="31.5" customHeight="1">
      <c r="B143" s="217" t="s">
        <v>191</v>
      </c>
      <c r="C143" s="217" t="s">
        <v>2</v>
      </c>
      <c r="D143" s="231" t="s">
        <v>3</v>
      </c>
      <c r="E143" s="232"/>
      <c r="F143" s="217" t="s">
        <v>36</v>
      </c>
      <c r="G143" s="217" t="s">
        <v>231</v>
      </c>
      <c r="H143" s="217" t="s">
        <v>232</v>
      </c>
      <c r="I143" s="122" t="s">
        <v>208</v>
      </c>
      <c r="J143" s="217" t="s">
        <v>193</v>
      </c>
      <c r="K143" s="217"/>
      <c r="L143" s="217"/>
      <c r="M143" s="217"/>
      <c r="N143" s="217"/>
      <c r="O143" s="217"/>
      <c r="P143" s="217"/>
      <c r="Q143" s="156"/>
      <c r="R143" s="156"/>
    </row>
    <row r="144" spans="2:18" ht="96.75" customHeight="1">
      <c r="B144" s="217"/>
      <c r="C144" s="217"/>
      <c r="D144" s="233"/>
      <c r="E144" s="234"/>
      <c r="F144" s="217"/>
      <c r="G144" s="217"/>
      <c r="H144" s="217"/>
      <c r="I144" s="217" t="s">
        <v>264</v>
      </c>
      <c r="J144" s="217" t="s">
        <v>194</v>
      </c>
      <c r="K144" s="217"/>
      <c r="L144" s="237" t="s">
        <v>195</v>
      </c>
      <c r="M144" s="237"/>
      <c r="N144" s="223" t="s">
        <v>196</v>
      </c>
      <c r="O144" s="223" t="s">
        <v>197</v>
      </c>
      <c r="P144" s="223"/>
      <c r="Q144" s="156"/>
      <c r="R144" s="156"/>
    </row>
    <row r="145" spans="2:20" ht="31.5" customHeight="1">
      <c r="B145" s="217"/>
      <c r="C145" s="217"/>
      <c r="D145" s="235"/>
      <c r="E145" s="236"/>
      <c r="F145" s="217"/>
      <c r="G145" s="217"/>
      <c r="H145" s="217"/>
      <c r="I145" s="217"/>
      <c r="J145" s="217"/>
      <c r="K145" s="217"/>
      <c r="L145" s="237"/>
      <c r="M145" s="237"/>
      <c r="N145" s="223"/>
      <c r="O145" s="129" t="s">
        <v>14</v>
      </c>
      <c r="P145" s="129" t="s">
        <v>198</v>
      </c>
      <c r="Q145" s="149"/>
      <c r="R145" s="149"/>
    </row>
    <row r="146" spans="2:20" ht="15.75">
      <c r="B146" s="122">
        <v>1</v>
      </c>
      <c r="C146" s="122">
        <v>2</v>
      </c>
      <c r="D146" s="218">
        <v>3</v>
      </c>
      <c r="E146" s="219"/>
      <c r="F146" s="122">
        <v>4</v>
      </c>
      <c r="G146" s="122">
        <v>5</v>
      </c>
      <c r="H146" s="122">
        <v>6</v>
      </c>
      <c r="I146" s="122">
        <v>7</v>
      </c>
      <c r="J146" s="217">
        <v>8</v>
      </c>
      <c r="K146" s="217"/>
      <c r="L146" s="217">
        <v>9</v>
      </c>
      <c r="M146" s="217"/>
      <c r="N146" s="122">
        <v>10</v>
      </c>
      <c r="O146" s="122">
        <v>11</v>
      </c>
      <c r="P146" s="122">
        <v>12</v>
      </c>
      <c r="Q146" s="149"/>
      <c r="R146" s="149"/>
    </row>
    <row r="147" spans="2:20" ht="24" customHeight="1">
      <c r="B147" s="122">
        <v>247</v>
      </c>
      <c r="C147" s="122" t="s">
        <v>199</v>
      </c>
      <c r="D147" s="220" t="s">
        <v>260</v>
      </c>
      <c r="E147" s="221"/>
      <c r="F147" s="122">
        <v>65451.72</v>
      </c>
      <c r="G147" s="122">
        <f>ROUND((I147/F147/1.038),2)</f>
        <v>7.69</v>
      </c>
      <c r="H147" s="122">
        <v>3.8</v>
      </c>
      <c r="I147" s="78">
        <v>522453.4</v>
      </c>
      <c r="J147" s="217" t="s">
        <v>9</v>
      </c>
      <c r="K147" s="217"/>
      <c r="L147" s="217" t="s">
        <v>9</v>
      </c>
      <c r="M147" s="217"/>
      <c r="N147" s="122" t="s">
        <v>9</v>
      </c>
      <c r="O147" s="122" t="s">
        <v>9</v>
      </c>
      <c r="P147" s="122" t="s">
        <v>9</v>
      </c>
      <c r="Q147" s="149"/>
      <c r="R147" s="149"/>
    </row>
    <row r="148" spans="2:20" ht="33" customHeight="1">
      <c r="B148" s="122">
        <v>247</v>
      </c>
      <c r="C148" s="177" t="s">
        <v>177</v>
      </c>
      <c r="D148" s="220" t="s">
        <v>261</v>
      </c>
      <c r="E148" s="221"/>
      <c r="F148" s="122">
        <v>271.07</v>
      </c>
      <c r="G148" s="122">
        <f t="shared" ref="G148:G150" si="5">ROUND((I148/F148/1.038),2)</f>
        <v>3018.44</v>
      </c>
      <c r="H148" s="122">
        <v>3.8</v>
      </c>
      <c r="I148" s="78">
        <v>849301.3</v>
      </c>
      <c r="J148" s="217" t="s">
        <v>9</v>
      </c>
      <c r="K148" s="217"/>
      <c r="L148" s="217" t="s">
        <v>9</v>
      </c>
      <c r="M148" s="217"/>
      <c r="N148" s="122" t="s">
        <v>9</v>
      </c>
      <c r="O148" s="122" t="s">
        <v>9</v>
      </c>
      <c r="P148" s="122" t="s">
        <v>9</v>
      </c>
      <c r="Q148" s="149"/>
      <c r="R148" s="149"/>
    </row>
    <row r="149" spans="2:20" ht="21.75" customHeight="1">
      <c r="B149" s="122">
        <v>244</v>
      </c>
      <c r="C149" s="122" t="s">
        <v>182</v>
      </c>
      <c r="D149" s="220" t="s">
        <v>271</v>
      </c>
      <c r="E149" s="221"/>
      <c r="F149" s="78">
        <v>299.73</v>
      </c>
      <c r="G149" s="122">
        <f t="shared" si="5"/>
        <v>65.67</v>
      </c>
      <c r="H149" s="122">
        <v>3.8</v>
      </c>
      <c r="I149" s="122">
        <v>20429.7</v>
      </c>
      <c r="J149" s="217" t="s">
        <v>9</v>
      </c>
      <c r="K149" s="217"/>
      <c r="L149" s="217" t="s">
        <v>9</v>
      </c>
      <c r="M149" s="217"/>
      <c r="N149" s="122" t="s">
        <v>9</v>
      </c>
      <c r="O149" s="122" t="s">
        <v>9</v>
      </c>
      <c r="P149" s="122" t="s">
        <v>9</v>
      </c>
      <c r="Q149" s="149"/>
      <c r="R149" s="149"/>
    </row>
    <row r="150" spans="2:20" ht="69.75" customHeight="1">
      <c r="B150" s="122">
        <v>244</v>
      </c>
      <c r="C150" s="122" t="s">
        <v>202</v>
      </c>
      <c r="D150" s="220" t="s">
        <v>272</v>
      </c>
      <c r="E150" s="221"/>
      <c r="F150" s="78">
        <v>299.73</v>
      </c>
      <c r="G150" s="122">
        <f t="shared" si="5"/>
        <v>125.2</v>
      </c>
      <c r="H150" s="122">
        <v>3.8</v>
      </c>
      <c r="I150" s="122">
        <v>38952</v>
      </c>
      <c r="J150" s="217" t="s">
        <v>9</v>
      </c>
      <c r="K150" s="217"/>
      <c r="L150" s="217" t="s">
        <v>9</v>
      </c>
      <c r="M150" s="217"/>
      <c r="N150" s="122" t="s">
        <v>9</v>
      </c>
      <c r="O150" s="122" t="s">
        <v>9</v>
      </c>
      <c r="P150" s="122" t="s">
        <v>9</v>
      </c>
      <c r="Q150" s="149"/>
      <c r="R150" s="149"/>
    </row>
    <row r="151" spans="2:20" ht="19.5" customHeight="1">
      <c r="B151" s="122">
        <v>244</v>
      </c>
      <c r="C151" s="122" t="s">
        <v>229</v>
      </c>
      <c r="D151" s="220" t="s">
        <v>262</v>
      </c>
      <c r="E151" s="221"/>
      <c r="F151" s="78">
        <v>42.24</v>
      </c>
      <c r="G151" s="122">
        <f>ROUND((I151/F151/1.038),2)</f>
        <v>471.76</v>
      </c>
      <c r="H151" s="122">
        <v>3.8</v>
      </c>
      <c r="I151" s="78">
        <v>20684.2</v>
      </c>
      <c r="J151" s="217" t="s">
        <v>9</v>
      </c>
      <c r="K151" s="217"/>
      <c r="L151" s="217" t="s">
        <v>9</v>
      </c>
      <c r="M151" s="217"/>
      <c r="N151" s="122" t="s">
        <v>9</v>
      </c>
      <c r="O151" s="122" t="s">
        <v>9</v>
      </c>
      <c r="P151" s="122" t="s">
        <v>9</v>
      </c>
      <c r="Q151" s="81" t="s">
        <v>308</v>
      </c>
      <c r="R151" s="81"/>
    </row>
    <row r="152" spans="2:20" ht="15.75">
      <c r="B152" s="85"/>
      <c r="C152" s="225" t="s">
        <v>23</v>
      </c>
      <c r="D152" s="229"/>
      <c r="E152" s="226"/>
      <c r="F152" s="127" t="s">
        <v>9</v>
      </c>
      <c r="G152" s="127" t="s">
        <v>9</v>
      </c>
      <c r="H152" s="127" t="s">
        <v>9</v>
      </c>
      <c r="I152" s="79">
        <f>SUM(I147:I151)</f>
        <v>1451820.6</v>
      </c>
      <c r="J152" s="240">
        <f>I152</f>
        <v>1451820.6</v>
      </c>
      <c r="K152" s="240"/>
      <c r="L152" s="227">
        <v>0</v>
      </c>
      <c r="M152" s="227"/>
      <c r="N152" s="125">
        <v>0</v>
      </c>
      <c r="O152" s="125">
        <v>0</v>
      </c>
      <c r="P152" s="125">
        <v>0</v>
      </c>
      <c r="Q152" s="156"/>
      <c r="R152" s="156"/>
    </row>
    <row r="153" spans="2:20" ht="15.75" customHeight="1"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138"/>
      <c r="R153" s="138"/>
    </row>
    <row r="154" spans="2:20" ht="23.25" customHeight="1">
      <c r="B154" s="70"/>
      <c r="C154" s="222" t="s">
        <v>296</v>
      </c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70"/>
      <c r="O154" s="70"/>
      <c r="P154" s="70"/>
    </row>
    <row r="155" spans="2:20" ht="15.75"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</row>
    <row r="156" spans="2:20" ht="31.5" customHeight="1">
      <c r="B156" s="217" t="s">
        <v>191</v>
      </c>
      <c r="C156" s="217" t="s">
        <v>2</v>
      </c>
      <c r="D156" s="217" t="s">
        <v>24</v>
      </c>
      <c r="E156" s="217" t="s">
        <v>233</v>
      </c>
      <c r="F156" s="217" t="s">
        <v>234</v>
      </c>
      <c r="G156" s="122" t="s">
        <v>235</v>
      </c>
      <c r="H156" s="217" t="s">
        <v>193</v>
      </c>
      <c r="I156" s="217"/>
      <c r="J156" s="217"/>
      <c r="K156" s="217"/>
      <c r="L156" s="217"/>
      <c r="M156" s="217"/>
      <c r="N156" s="217"/>
      <c r="O156" s="156"/>
      <c r="P156" s="156"/>
    </row>
    <row r="157" spans="2:20" ht="85.5" customHeight="1">
      <c r="B157" s="217"/>
      <c r="C157" s="217"/>
      <c r="D157" s="217"/>
      <c r="E157" s="217"/>
      <c r="F157" s="217"/>
      <c r="G157" s="238" t="s">
        <v>240</v>
      </c>
      <c r="H157" s="217" t="s">
        <v>194</v>
      </c>
      <c r="I157" s="217"/>
      <c r="J157" s="237" t="s">
        <v>195</v>
      </c>
      <c r="K157" s="237"/>
      <c r="L157" s="223" t="s">
        <v>196</v>
      </c>
      <c r="M157" s="223" t="s">
        <v>197</v>
      </c>
      <c r="N157" s="223"/>
      <c r="O157" s="156"/>
      <c r="P157" s="149"/>
    </row>
    <row r="158" spans="2:20" ht="35.25" customHeight="1">
      <c r="B158" s="217"/>
      <c r="C158" s="217"/>
      <c r="D158" s="217"/>
      <c r="E158" s="217"/>
      <c r="F158" s="217"/>
      <c r="G158" s="239"/>
      <c r="H158" s="217"/>
      <c r="I158" s="217"/>
      <c r="J158" s="237"/>
      <c r="K158" s="237"/>
      <c r="L158" s="223"/>
      <c r="M158" s="129" t="s">
        <v>14</v>
      </c>
      <c r="N158" s="129" t="s">
        <v>198</v>
      </c>
      <c r="O158" s="149"/>
      <c r="P158" s="149"/>
    </row>
    <row r="159" spans="2:20" ht="15.75">
      <c r="B159" s="122">
        <v>1</v>
      </c>
      <c r="C159" s="122">
        <v>2</v>
      </c>
      <c r="D159" s="122">
        <v>3</v>
      </c>
      <c r="E159" s="122">
        <v>4</v>
      </c>
      <c r="F159" s="122">
        <v>5</v>
      </c>
      <c r="G159" s="122">
        <v>6</v>
      </c>
      <c r="H159" s="217">
        <v>7</v>
      </c>
      <c r="I159" s="217"/>
      <c r="J159" s="217">
        <v>8</v>
      </c>
      <c r="K159" s="217"/>
      <c r="L159" s="122">
        <v>9</v>
      </c>
      <c r="M159" s="122">
        <v>10</v>
      </c>
      <c r="N159" s="122">
        <v>11</v>
      </c>
      <c r="O159" s="149"/>
      <c r="P159" s="149"/>
    </row>
    <row r="160" spans="2:20" ht="25.5" customHeight="1">
      <c r="B160" s="122">
        <v>244</v>
      </c>
      <c r="C160" s="122">
        <v>1</v>
      </c>
      <c r="D160" s="120" t="s">
        <v>274</v>
      </c>
      <c r="E160" s="122">
        <v>1</v>
      </c>
      <c r="F160" s="78">
        <v>7016.7</v>
      </c>
      <c r="G160" s="78">
        <f>E160*F160</f>
        <v>7016.7</v>
      </c>
      <c r="H160" s="217" t="s">
        <v>9</v>
      </c>
      <c r="I160" s="217"/>
      <c r="J160" s="217" t="s">
        <v>9</v>
      </c>
      <c r="K160" s="217"/>
      <c r="L160" s="122" t="s">
        <v>9</v>
      </c>
      <c r="M160" s="122" t="s">
        <v>9</v>
      </c>
      <c r="N160" s="122" t="s">
        <v>9</v>
      </c>
      <c r="O160" s="149"/>
      <c r="P160" s="149"/>
      <c r="Q160" s="81" t="s">
        <v>309</v>
      </c>
      <c r="R160" s="81"/>
      <c r="S160" s="102" t="s">
        <v>305</v>
      </c>
      <c r="T160" s="86">
        <v>7000</v>
      </c>
    </row>
    <row r="161" spans="2:20" ht="79.5" customHeight="1">
      <c r="B161" s="122">
        <v>244</v>
      </c>
      <c r="C161" s="122">
        <v>2</v>
      </c>
      <c r="D161" s="120" t="s">
        <v>424</v>
      </c>
      <c r="E161" s="122">
        <v>1</v>
      </c>
      <c r="F161" s="171">
        <v>40000</v>
      </c>
      <c r="G161" s="78">
        <f t="shared" ref="G161:G170" si="6">E161*F161</f>
        <v>40000</v>
      </c>
      <c r="H161" s="217" t="s">
        <v>9</v>
      </c>
      <c r="I161" s="217"/>
      <c r="J161" s="217" t="s">
        <v>9</v>
      </c>
      <c r="K161" s="217"/>
      <c r="L161" s="122" t="s">
        <v>9</v>
      </c>
      <c r="M161" s="122" t="s">
        <v>9</v>
      </c>
      <c r="N161" s="122" t="s">
        <v>9</v>
      </c>
      <c r="O161" s="149"/>
      <c r="P161" s="149"/>
      <c r="S161" s="102" t="s">
        <v>299</v>
      </c>
      <c r="T161" s="102">
        <v>0</v>
      </c>
    </row>
    <row r="162" spans="2:20" ht="97.5" customHeight="1">
      <c r="B162" s="122">
        <v>244</v>
      </c>
      <c r="C162" s="122">
        <v>3</v>
      </c>
      <c r="D162" s="164" t="s">
        <v>275</v>
      </c>
      <c r="E162" s="122">
        <v>1</v>
      </c>
      <c r="F162" s="171">
        <v>30000</v>
      </c>
      <c r="G162" s="78">
        <f t="shared" si="6"/>
        <v>30000</v>
      </c>
      <c r="H162" s="217" t="s">
        <v>9</v>
      </c>
      <c r="I162" s="217"/>
      <c r="J162" s="217" t="s">
        <v>9</v>
      </c>
      <c r="K162" s="217"/>
      <c r="L162" s="122" t="s">
        <v>9</v>
      </c>
      <c r="M162" s="122" t="s">
        <v>9</v>
      </c>
      <c r="N162" s="122" t="s">
        <v>9</v>
      </c>
      <c r="O162" s="149"/>
      <c r="P162" s="149"/>
      <c r="S162" s="102" t="s">
        <v>313</v>
      </c>
      <c r="T162" s="87">
        <v>630800</v>
      </c>
    </row>
    <row r="163" spans="2:20" ht="81.75" hidden="1" customHeight="1">
      <c r="B163" s="122">
        <v>244</v>
      </c>
      <c r="C163" s="122">
        <v>4</v>
      </c>
      <c r="D163" s="120" t="s">
        <v>276</v>
      </c>
      <c r="E163" s="122">
        <v>1</v>
      </c>
      <c r="F163" s="171">
        <v>0</v>
      </c>
      <c r="G163" s="78">
        <f t="shared" si="6"/>
        <v>0</v>
      </c>
      <c r="H163" s="217" t="s">
        <v>9</v>
      </c>
      <c r="I163" s="217"/>
      <c r="J163" s="217" t="s">
        <v>9</v>
      </c>
      <c r="K163" s="217"/>
      <c r="L163" s="122" t="s">
        <v>9</v>
      </c>
      <c r="M163" s="122" t="s">
        <v>9</v>
      </c>
      <c r="N163" s="122" t="s">
        <v>9</v>
      </c>
      <c r="O163" s="149"/>
      <c r="P163" s="149"/>
      <c r="S163" s="102" t="s">
        <v>7</v>
      </c>
      <c r="T163" s="153">
        <f>SUM(T160:T162)</f>
        <v>637800</v>
      </c>
    </row>
    <row r="164" spans="2:20" ht="38.25" customHeight="1">
      <c r="B164" s="122">
        <v>244</v>
      </c>
      <c r="C164" s="122">
        <v>5</v>
      </c>
      <c r="D164" s="120" t="s">
        <v>423</v>
      </c>
      <c r="E164" s="122">
        <v>1</v>
      </c>
      <c r="F164" s="171">
        <v>800</v>
      </c>
      <c r="G164" s="78">
        <f t="shared" si="6"/>
        <v>800</v>
      </c>
      <c r="H164" s="217" t="s">
        <v>9</v>
      </c>
      <c r="I164" s="217"/>
      <c r="J164" s="217" t="s">
        <v>9</v>
      </c>
      <c r="K164" s="217"/>
      <c r="L164" s="122" t="s">
        <v>9</v>
      </c>
      <c r="M164" s="122" t="s">
        <v>9</v>
      </c>
      <c r="N164" s="122" t="s">
        <v>9</v>
      </c>
      <c r="O164" s="149"/>
      <c r="P164" s="149"/>
      <c r="S164" s="102"/>
      <c r="T164" s="87"/>
    </row>
    <row r="165" spans="2:20" ht="59.25" hidden="1" customHeight="1">
      <c r="B165" s="122">
        <v>244</v>
      </c>
      <c r="C165" s="122">
        <v>6</v>
      </c>
      <c r="D165" s="120" t="s">
        <v>406</v>
      </c>
      <c r="E165" s="122">
        <v>1</v>
      </c>
      <c r="F165" s="171">
        <v>0</v>
      </c>
      <c r="G165" s="78">
        <f t="shared" si="6"/>
        <v>0</v>
      </c>
      <c r="H165" s="217" t="s">
        <v>9</v>
      </c>
      <c r="I165" s="217"/>
      <c r="J165" s="217" t="s">
        <v>9</v>
      </c>
      <c r="K165" s="217"/>
      <c r="L165" s="122" t="s">
        <v>9</v>
      </c>
      <c r="M165" s="122" t="s">
        <v>9</v>
      </c>
      <c r="N165" s="122" t="s">
        <v>9</v>
      </c>
      <c r="O165" s="149"/>
      <c r="P165" s="149"/>
      <c r="S165" s="102"/>
      <c r="T165" s="87"/>
    </row>
    <row r="166" spans="2:20" ht="35.25" customHeight="1">
      <c r="B166" s="122">
        <v>244</v>
      </c>
      <c r="C166" s="122">
        <v>7</v>
      </c>
      <c r="D166" s="120" t="s">
        <v>408</v>
      </c>
      <c r="E166" s="122">
        <v>1</v>
      </c>
      <c r="F166" s="171">
        <v>559983.30000000005</v>
      </c>
      <c r="G166" s="78">
        <f t="shared" si="6"/>
        <v>559983.30000000005</v>
      </c>
      <c r="H166" s="217" t="s">
        <v>9</v>
      </c>
      <c r="I166" s="217"/>
      <c r="J166" s="217" t="s">
        <v>9</v>
      </c>
      <c r="K166" s="217"/>
      <c r="L166" s="122" t="s">
        <v>9</v>
      </c>
      <c r="M166" s="122" t="s">
        <v>9</v>
      </c>
      <c r="N166" s="122" t="s">
        <v>9</v>
      </c>
      <c r="O166" s="149"/>
      <c r="P166" s="149"/>
      <c r="S166" s="102"/>
      <c r="T166" s="87"/>
    </row>
    <row r="167" spans="2:20" ht="69" hidden="1" customHeight="1">
      <c r="B167" s="122">
        <v>244</v>
      </c>
      <c r="C167" s="122">
        <v>8</v>
      </c>
      <c r="D167" s="120" t="s">
        <v>416</v>
      </c>
      <c r="E167" s="122">
        <v>1</v>
      </c>
      <c r="F167" s="171">
        <v>0</v>
      </c>
      <c r="G167" s="78">
        <f t="shared" si="6"/>
        <v>0</v>
      </c>
      <c r="H167" s="217" t="s">
        <v>9</v>
      </c>
      <c r="I167" s="217"/>
      <c r="J167" s="217" t="s">
        <v>9</v>
      </c>
      <c r="K167" s="217"/>
      <c r="L167" s="122" t="s">
        <v>9</v>
      </c>
      <c r="M167" s="122" t="s">
        <v>9</v>
      </c>
      <c r="N167" s="122" t="s">
        <v>9</v>
      </c>
      <c r="O167" s="149"/>
      <c r="P167" s="149"/>
      <c r="S167" s="102"/>
      <c r="T167" s="87"/>
    </row>
    <row r="168" spans="2:20" ht="41.25" hidden="1" customHeight="1">
      <c r="B168" s="122">
        <v>244</v>
      </c>
      <c r="C168" s="122">
        <v>9</v>
      </c>
      <c r="D168" s="120" t="s">
        <v>366</v>
      </c>
      <c r="E168" s="122">
        <v>1</v>
      </c>
      <c r="F168" s="171">
        <v>0</v>
      </c>
      <c r="G168" s="78">
        <f t="shared" si="6"/>
        <v>0</v>
      </c>
      <c r="H168" s="217" t="s">
        <v>9</v>
      </c>
      <c r="I168" s="217"/>
      <c r="J168" s="217" t="s">
        <v>9</v>
      </c>
      <c r="K168" s="217"/>
      <c r="L168" s="122" t="s">
        <v>9</v>
      </c>
      <c r="M168" s="122" t="s">
        <v>9</v>
      </c>
      <c r="N168" s="122" t="s">
        <v>9</v>
      </c>
      <c r="O168" s="149"/>
      <c r="P168" s="149"/>
      <c r="S168" s="102"/>
      <c r="T168" s="87"/>
    </row>
    <row r="169" spans="2:20" ht="41.25" hidden="1" customHeight="1">
      <c r="B169" s="122">
        <v>244</v>
      </c>
      <c r="C169" s="122">
        <v>8</v>
      </c>
      <c r="D169" s="120" t="s">
        <v>381</v>
      </c>
      <c r="E169" s="122">
        <v>1</v>
      </c>
      <c r="F169" s="171"/>
      <c r="G169" s="78">
        <f t="shared" si="6"/>
        <v>0</v>
      </c>
      <c r="H169" s="217" t="s">
        <v>9</v>
      </c>
      <c r="I169" s="217"/>
      <c r="J169" s="217" t="s">
        <v>9</v>
      </c>
      <c r="K169" s="217"/>
      <c r="L169" s="122" t="s">
        <v>9</v>
      </c>
      <c r="M169" s="122" t="s">
        <v>9</v>
      </c>
      <c r="N169" s="122" t="s">
        <v>9</v>
      </c>
      <c r="O169" s="149"/>
      <c r="P169" s="149"/>
      <c r="S169" s="102"/>
      <c r="T169" s="87"/>
    </row>
    <row r="170" spans="2:20" ht="41.25" hidden="1" customHeight="1">
      <c r="B170" s="122">
        <v>244</v>
      </c>
      <c r="C170" s="122">
        <v>11</v>
      </c>
      <c r="D170" s="120" t="s">
        <v>350</v>
      </c>
      <c r="E170" s="122">
        <v>1</v>
      </c>
      <c r="F170" s="78">
        <v>0</v>
      </c>
      <c r="G170" s="78">
        <f t="shared" si="6"/>
        <v>0</v>
      </c>
      <c r="H170" s="217" t="s">
        <v>9</v>
      </c>
      <c r="I170" s="217"/>
      <c r="J170" s="217" t="s">
        <v>9</v>
      </c>
      <c r="K170" s="217"/>
      <c r="L170" s="122" t="s">
        <v>9</v>
      </c>
      <c r="M170" s="122" t="s">
        <v>9</v>
      </c>
      <c r="N170" s="122" t="s">
        <v>9</v>
      </c>
      <c r="O170" s="149"/>
      <c r="P170" s="149"/>
      <c r="S170" s="102"/>
      <c r="T170" s="87"/>
    </row>
    <row r="171" spans="2:20" ht="37.5" hidden="1" customHeight="1" outlineLevel="1">
      <c r="B171" s="122">
        <v>244</v>
      </c>
      <c r="C171" s="122" t="s">
        <v>273</v>
      </c>
      <c r="D171" s="120" t="s">
        <v>277</v>
      </c>
      <c r="E171" s="122">
        <v>1</v>
      </c>
      <c r="F171" s="122"/>
      <c r="G171" s="78">
        <f t="shared" ref="G171" si="7">E171*F171</f>
        <v>0</v>
      </c>
      <c r="H171" s="218" t="s">
        <v>9</v>
      </c>
      <c r="I171" s="219"/>
      <c r="J171" s="218" t="s">
        <v>9</v>
      </c>
      <c r="K171" s="219"/>
      <c r="L171" s="122" t="s">
        <v>9</v>
      </c>
      <c r="M171" s="122" t="s">
        <v>9</v>
      </c>
      <c r="N171" s="122" t="s">
        <v>9</v>
      </c>
      <c r="O171" s="149"/>
      <c r="P171" s="149"/>
    </row>
    <row r="172" spans="2:20" ht="2.25" hidden="1" customHeight="1" outlineLevel="1">
      <c r="B172" s="122"/>
      <c r="C172" s="122"/>
      <c r="D172" s="120"/>
      <c r="E172" s="122">
        <v>1</v>
      </c>
      <c r="F172" s="122"/>
      <c r="G172" s="78">
        <f t="shared" ref="G172" si="8">E172*F172</f>
        <v>0</v>
      </c>
      <c r="H172" s="217" t="s">
        <v>9</v>
      </c>
      <c r="I172" s="217"/>
      <c r="J172" s="217" t="s">
        <v>9</v>
      </c>
      <c r="K172" s="217"/>
      <c r="L172" s="122" t="s">
        <v>9</v>
      </c>
      <c r="M172" s="122" t="s">
        <v>9</v>
      </c>
      <c r="N172" s="122" t="s">
        <v>9</v>
      </c>
      <c r="O172" s="149"/>
      <c r="P172" s="149"/>
    </row>
    <row r="173" spans="2:20" ht="26.25" customHeight="1" collapsed="1">
      <c r="B173" s="122"/>
      <c r="C173" s="225" t="s">
        <v>23</v>
      </c>
      <c r="D173" s="226"/>
      <c r="E173" s="127" t="s">
        <v>9</v>
      </c>
      <c r="F173" s="127" t="s">
        <v>9</v>
      </c>
      <c r="G173" s="79">
        <f>SUM(G160:G172)</f>
        <v>637800</v>
      </c>
      <c r="H173" s="227">
        <f>T160</f>
        <v>7000</v>
      </c>
      <c r="I173" s="228"/>
      <c r="J173" s="227">
        <f>T162</f>
        <v>630800</v>
      </c>
      <c r="K173" s="227"/>
      <c r="L173" s="125">
        <v>0</v>
      </c>
      <c r="M173" s="125">
        <f>T161</f>
        <v>0</v>
      </c>
      <c r="N173" s="125">
        <v>0</v>
      </c>
      <c r="O173" s="156"/>
      <c r="P173" s="156"/>
      <c r="Q173" s="154">
        <f>SUM(H173:M173)</f>
        <v>637800</v>
      </c>
      <c r="R173" s="142">
        <f>Q173-G173</f>
        <v>0</v>
      </c>
    </row>
    <row r="174" spans="2:20" ht="15.75">
      <c r="B174" s="149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165"/>
      <c r="O174" s="165"/>
      <c r="P174" s="165"/>
      <c r="Q174" s="82" t="b">
        <f>G173=Q173</f>
        <v>1</v>
      </c>
    </row>
    <row r="175" spans="2:20" ht="25.5" customHeight="1">
      <c r="B175" s="70"/>
      <c r="C175" s="222" t="s">
        <v>297</v>
      </c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70"/>
      <c r="O175" s="70"/>
      <c r="P175" s="70"/>
    </row>
    <row r="176" spans="2:20" ht="15.75"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</row>
    <row r="177" spans="2:20" ht="31.5" customHeight="1">
      <c r="B177" s="217" t="s">
        <v>191</v>
      </c>
      <c r="C177" s="217" t="s">
        <v>2</v>
      </c>
      <c r="D177" s="217" t="s">
        <v>24</v>
      </c>
      <c r="E177" s="217" t="s">
        <v>236</v>
      </c>
      <c r="F177" s="217" t="s">
        <v>237</v>
      </c>
      <c r="G177" s="122" t="s">
        <v>235</v>
      </c>
      <c r="H177" s="217" t="s">
        <v>193</v>
      </c>
      <c r="I177" s="217"/>
      <c r="J177" s="217"/>
      <c r="K177" s="217"/>
      <c r="L177" s="217"/>
      <c r="M177" s="217"/>
      <c r="N177" s="217"/>
      <c r="O177" s="156"/>
      <c r="P177" s="156"/>
    </row>
    <row r="178" spans="2:20" ht="100.5" customHeight="1">
      <c r="B178" s="217"/>
      <c r="C178" s="217"/>
      <c r="D178" s="217"/>
      <c r="E178" s="217"/>
      <c r="F178" s="217"/>
      <c r="G178" s="238" t="s">
        <v>240</v>
      </c>
      <c r="H178" s="217" t="s">
        <v>194</v>
      </c>
      <c r="I178" s="217"/>
      <c r="J178" s="237" t="s">
        <v>195</v>
      </c>
      <c r="K178" s="237"/>
      <c r="L178" s="223" t="s">
        <v>196</v>
      </c>
      <c r="M178" s="223" t="s">
        <v>197</v>
      </c>
      <c r="N178" s="223"/>
      <c r="O178" s="156"/>
      <c r="P178" s="149"/>
    </row>
    <row r="179" spans="2:20" ht="15.75" customHeight="1">
      <c r="B179" s="217"/>
      <c r="C179" s="217"/>
      <c r="D179" s="217"/>
      <c r="E179" s="217"/>
      <c r="F179" s="217"/>
      <c r="G179" s="239"/>
      <c r="H179" s="217"/>
      <c r="I179" s="217"/>
      <c r="J179" s="237"/>
      <c r="K179" s="237"/>
      <c r="L179" s="223"/>
      <c r="M179" s="129" t="s">
        <v>14</v>
      </c>
      <c r="N179" s="129" t="s">
        <v>198</v>
      </c>
      <c r="O179" s="149"/>
      <c r="P179" s="149"/>
    </row>
    <row r="180" spans="2:20" ht="15.75">
      <c r="B180" s="122">
        <v>1</v>
      </c>
      <c r="C180" s="122">
        <v>2</v>
      </c>
      <c r="D180" s="122">
        <v>3</v>
      </c>
      <c r="E180" s="122">
        <v>4</v>
      </c>
      <c r="F180" s="122">
        <v>5</v>
      </c>
      <c r="G180" s="122">
        <v>6</v>
      </c>
      <c r="H180" s="217">
        <v>7</v>
      </c>
      <c r="I180" s="217"/>
      <c r="J180" s="217">
        <v>8</v>
      </c>
      <c r="K180" s="217"/>
      <c r="L180" s="122">
        <v>9</v>
      </c>
      <c r="M180" s="122">
        <v>10</v>
      </c>
      <c r="N180" s="122">
        <v>11</v>
      </c>
      <c r="O180" s="149"/>
      <c r="P180" s="149"/>
    </row>
    <row r="181" spans="2:20" ht="31.5">
      <c r="B181" s="122">
        <v>244</v>
      </c>
      <c r="C181" s="122">
        <v>1</v>
      </c>
      <c r="D181" s="120" t="s">
        <v>278</v>
      </c>
      <c r="E181" s="122">
        <v>1</v>
      </c>
      <c r="F181" s="171">
        <v>4550</v>
      </c>
      <c r="G181" s="78">
        <f>E181*F181</f>
        <v>4550</v>
      </c>
      <c r="H181" s="217" t="s">
        <v>9</v>
      </c>
      <c r="I181" s="217"/>
      <c r="J181" s="217" t="s">
        <v>9</v>
      </c>
      <c r="K181" s="217"/>
      <c r="L181" s="122" t="s">
        <v>9</v>
      </c>
      <c r="M181" s="122" t="s">
        <v>9</v>
      </c>
      <c r="N181" s="122" t="s">
        <v>9</v>
      </c>
      <c r="O181" s="149"/>
      <c r="P181" s="149"/>
      <c r="Q181" s="81" t="s">
        <v>310</v>
      </c>
      <c r="R181" s="81"/>
      <c r="S181" s="102" t="s">
        <v>305</v>
      </c>
      <c r="T181" s="170">
        <v>37500</v>
      </c>
    </row>
    <row r="182" spans="2:20" ht="62.25" hidden="1" customHeight="1">
      <c r="B182" s="122">
        <v>244</v>
      </c>
      <c r="C182" s="122" t="s">
        <v>177</v>
      </c>
      <c r="D182" s="120" t="s">
        <v>382</v>
      </c>
      <c r="E182" s="122">
        <v>1</v>
      </c>
      <c r="F182" s="78">
        <v>0</v>
      </c>
      <c r="G182" s="121">
        <f>F182</f>
        <v>0</v>
      </c>
      <c r="H182" s="217" t="s">
        <v>9</v>
      </c>
      <c r="I182" s="217"/>
      <c r="J182" s="217" t="s">
        <v>9</v>
      </c>
      <c r="K182" s="217"/>
      <c r="L182" s="122" t="s">
        <v>9</v>
      </c>
      <c r="M182" s="122" t="s">
        <v>9</v>
      </c>
      <c r="N182" s="122" t="s">
        <v>9</v>
      </c>
      <c r="O182" s="149"/>
      <c r="P182" s="149"/>
      <c r="S182" s="102" t="s">
        <v>299</v>
      </c>
      <c r="T182" s="102">
        <v>0</v>
      </c>
    </row>
    <row r="183" spans="2:20" ht="55.5" hidden="1" customHeight="1">
      <c r="B183" s="122">
        <v>244</v>
      </c>
      <c r="C183" s="122">
        <v>3</v>
      </c>
      <c r="D183" s="120" t="s">
        <v>425</v>
      </c>
      <c r="E183" s="122">
        <v>1</v>
      </c>
      <c r="F183" s="78">
        <v>0</v>
      </c>
      <c r="G183" s="78">
        <f>E183*F183</f>
        <v>0</v>
      </c>
      <c r="H183" s="218" t="s">
        <v>9</v>
      </c>
      <c r="I183" s="219"/>
      <c r="J183" s="217" t="s">
        <v>9</v>
      </c>
      <c r="K183" s="217"/>
      <c r="L183" s="122" t="s">
        <v>9</v>
      </c>
      <c r="M183" s="122" t="s">
        <v>9</v>
      </c>
      <c r="N183" s="122" t="s">
        <v>9</v>
      </c>
      <c r="O183" s="149"/>
      <c r="P183" s="149"/>
      <c r="S183" s="102"/>
      <c r="T183" s="102"/>
    </row>
    <row r="184" spans="2:20" ht="146.25" customHeight="1">
      <c r="B184" s="122">
        <v>244</v>
      </c>
      <c r="C184" s="122">
        <v>4</v>
      </c>
      <c r="D184" s="120" t="s">
        <v>338</v>
      </c>
      <c r="E184" s="122">
        <v>1</v>
      </c>
      <c r="F184" s="171">
        <v>21000</v>
      </c>
      <c r="G184" s="78">
        <f>E184*F184</f>
        <v>21000</v>
      </c>
      <c r="H184" s="218" t="s">
        <v>9</v>
      </c>
      <c r="I184" s="219"/>
      <c r="J184" s="217" t="s">
        <v>9</v>
      </c>
      <c r="K184" s="217"/>
      <c r="L184" s="122" t="s">
        <v>9</v>
      </c>
      <c r="M184" s="122" t="s">
        <v>9</v>
      </c>
      <c r="N184" s="122" t="s">
        <v>9</v>
      </c>
      <c r="O184" s="149"/>
      <c r="P184" s="149"/>
      <c r="S184" s="102"/>
      <c r="T184" s="102"/>
    </row>
    <row r="185" spans="2:20" ht="36.75" customHeight="1">
      <c r="B185" s="122">
        <v>244</v>
      </c>
      <c r="C185" s="122">
        <v>5</v>
      </c>
      <c r="D185" s="120" t="s">
        <v>409</v>
      </c>
      <c r="E185" s="122">
        <v>1</v>
      </c>
      <c r="F185" s="78"/>
      <c r="G185" s="78">
        <f t="shared" ref="G185" si="9">E185*F185</f>
        <v>0</v>
      </c>
      <c r="H185" s="217" t="s">
        <v>9</v>
      </c>
      <c r="I185" s="217"/>
      <c r="J185" s="217" t="s">
        <v>9</v>
      </c>
      <c r="K185" s="217"/>
      <c r="L185" s="122" t="s">
        <v>9</v>
      </c>
      <c r="M185" s="122" t="s">
        <v>9</v>
      </c>
      <c r="N185" s="122" t="s">
        <v>9</v>
      </c>
      <c r="O185" s="149"/>
      <c r="P185" s="149"/>
      <c r="R185" s="82">
        <v>22346.66</v>
      </c>
      <c r="S185" s="102"/>
      <c r="T185" s="102"/>
    </row>
    <row r="186" spans="2:20" ht="42" customHeight="1">
      <c r="B186" s="122">
        <v>244</v>
      </c>
      <c r="C186" s="122">
        <v>6</v>
      </c>
      <c r="D186" s="120" t="s">
        <v>397</v>
      </c>
      <c r="E186" s="122">
        <v>1</v>
      </c>
      <c r="F186" s="171">
        <v>1300</v>
      </c>
      <c r="G186" s="98">
        <f t="shared" ref="G186:G188" si="10">F186</f>
        <v>1300</v>
      </c>
      <c r="H186" s="217" t="s">
        <v>9</v>
      </c>
      <c r="I186" s="217"/>
      <c r="J186" s="217" t="s">
        <v>9</v>
      </c>
      <c r="K186" s="217"/>
      <c r="L186" s="122" t="s">
        <v>9</v>
      </c>
      <c r="M186" s="122" t="s">
        <v>9</v>
      </c>
      <c r="N186" s="122" t="s">
        <v>9</v>
      </c>
      <c r="O186" s="149"/>
      <c r="P186" s="149"/>
      <c r="S186" s="102"/>
      <c r="T186" s="102"/>
    </row>
    <row r="187" spans="2:20" ht="51.75" hidden="1" customHeight="1">
      <c r="B187" s="122">
        <v>244</v>
      </c>
      <c r="C187" s="122">
        <v>7</v>
      </c>
      <c r="D187" s="120" t="s">
        <v>279</v>
      </c>
      <c r="E187" s="122">
        <v>1</v>
      </c>
      <c r="F187" s="171">
        <v>0</v>
      </c>
      <c r="G187" s="98">
        <f>F187</f>
        <v>0</v>
      </c>
      <c r="H187" s="217" t="s">
        <v>9</v>
      </c>
      <c r="I187" s="217"/>
      <c r="J187" s="217" t="s">
        <v>9</v>
      </c>
      <c r="K187" s="217"/>
      <c r="L187" s="122" t="s">
        <v>9</v>
      </c>
      <c r="M187" s="122" t="s">
        <v>9</v>
      </c>
      <c r="N187" s="122" t="s">
        <v>9</v>
      </c>
      <c r="O187" s="149"/>
      <c r="P187" s="149"/>
      <c r="S187" s="102"/>
      <c r="T187" s="102"/>
    </row>
    <row r="188" spans="2:20" ht="27" customHeight="1">
      <c r="B188" s="122">
        <v>244</v>
      </c>
      <c r="C188" s="122">
        <v>8</v>
      </c>
      <c r="D188" s="120" t="s">
        <v>426</v>
      </c>
      <c r="E188" s="122">
        <v>1</v>
      </c>
      <c r="F188" s="171">
        <v>5400</v>
      </c>
      <c r="G188" s="98">
        <f t="shared" si="10"/>
        <v>5400</v>
      </c>
      <c r="H188" s="217" t="s">
        <v>9</v>
      </c>
      <c r="I188" s="217"/>
      <c r="J188" s="217" t="s">
        <v>9</v>
      </c>
      <c r="K188" s="217"/>
      <c r="L188" s="122" t="s">
        <v>9</v>
      </c>
      <c r="M188" s="122" t="s">
        <v>9</v>
      </c>
      <c r="N188" s="122" t="s">
        <v>9</v>
      </c>
      <c r="O188" s="149"/>
      <c r="P188" s="149"/>
      <c r="S188" s="102"/>
      <c r="T188" s="102"/>
    </row>
    <row r="189" spans="2:20" ht="116.25" hidden="1" customHeight="1">
      <c r="B189" s="122">
        <v>112</v>
      </c>
      <c r="C189" s="122">
        <v>9</v>
      </c>
      <c r="D189" s="120" t="s">
        <v>346</v>
      </c>
      <c r="E189" s="122">
        <v>1</v>
      </c>
      <c r="F189" s="178">
        <v>0</v>
      </c>
      <c r="G189" s="98">
        <v>0</v>
      </c>
      <c r="H189" s="217" t="s">
        <v>9</v>
      </c>
      <c r="I189" s="217"/>
      <c r="J189" s="217" t="s">
        <v>9</v>
      </c>
      <c r="K189" s="217"/>
      <c r="L189" s="122" t="s">
        <v>9</v>
      </c>
      <c r="M189" s="122" t="s">
        <v>9</v>
      </c>
      <c r="N189" s="122" t="s">
        <v>9</v>
      </c>
      <c r="O189" s="149"/>
      <c r="P189" s="149"/>
      <c r="S189" s="102"/>
      <c r="T189" s="102"/>
    </row>
    <row r="190" spans="2:20" ht="104.25" customHeight="1">
      <c r="B190" s="122">
        <v>244</v>
      </c>
      <c r="C190" s="122">
        <v>5</v>
      </c>
      <c r="D190" s="120" t="s">
        <v>279</v>
      </c>
      <c r="E190" s="122">
        <v>1</v>
      </c>
      <c r="F190" s="171">
        <v>26250</v>
      </c>
      <c r="G190" s="78">
        <f t="shared" ref="G190:G195" si="11">E190*F190</f>
        <v>26250</v>
      </c>
      <c r="H190" s="217" t="s">
        <v>9</v>
      </c>
      <c r="I190" s="217"/>
      <c r="J190" s="217" t="s">
        <v>9</v>
      </c>
      <c r="K190" s="217"/>
      <c r="L190" s="122" t="s">
        <v>9</v>
      </c>
      <c r="M190" s="122" t="s">
        <v>9</v>
      </c>
      <c r="N190" s="122" t="s">
        <v>9</v>
      </c>
      <c r="O190" s="149"/>
      <c r="P190" s="149"/>
      <c r="S190" s="102" t="s">
        <v>313</v>
      </c>
      <c r="T190" s="153">
        <v>202255</v>
      </c>
    </row>
    <row r="191" spans="2:20" ht="22.5" hidden="1" customHeight="1">
      <c r="B191" s="122">
        <v>244</v>
      </c>
      <c r="C191" s="122">
        <v>10</v>
      </c>
      <c r="D191" s="120" t="s">
        <v>408</v>
      </c>
      <c r="E191" s="122">
        <v>1</v>
      </c>
      <c r="F191" s="78">
        <v>0</v>
      </c>
      <c r="G191" s="78">
        <f t="shared" si="11"/>
        <v>0</v>
      </c>
      <c r="H191" s="217" t="s">
        <v>9</v>
      </c>
      <c r="I191" s="217"/>
      <c r="J191" s="217" t="s">
        <v>9</v>
      </c>
      <c r="K191" s="217"/>
      <c r="L191" s="122" t="s">
        <v>9</v>
      </c>
      <c r="M191" s="122" t="s">
        <v>9</v>
      </c>
      <c r="N191" s="122" t="s">
        <v>9</v>
      </c>
      <c r="O191" s="149"/>
      <c r="P191" s="149"/>
      <c r="S191" s="102" t="s">
        <v>7</v>
      </c>
      <c r="T191" s="153">
        <f>SUM(T181:T190)</f>
        <v>239755</v>
      </c>
    </row>
    <row r="192" spans="2:20" ht="26.25" customHeight="1">
      <c r="B192" s="122">
        <v>244</v>
      </c>
      <c r="C192" s="122">
        <v>11</v>
      </c>
      <c r="D192" s="120" t="s">
        <v>280</v>
      </c>
      <c r="E192" s="122">
        <v>1</v>
      </c>
      <c r="F192" s="171">
        <v>14600</v>
      </c>
      <c r="G192" s="78">
        <f t="shared" si="11"/>
        <v>14600</v>
      </c>
      <c r="H192" s="217" t="s">
        <v>9</v>
      </c>
      <c r="I192" s="217"/>
      <c r="J192" s="217" t="s">
        <v>9</v>
      </c>
      <c r="K192" s="217"/>
      <c r="L192" s="122" t="s">
        <v>9</v>
      </c>
      <c r="M192" s="122" t="s">
        <v>9</v>
      </c>
      <c r="N192" s="122" t="s">
        <v>9</v>
      </c>
      <c r="O192" s="149"/>
      <c r="P192" s="149"/>
      <c r="T192" s="82" t="b">
        <f>G199=T191</f>
        <v>1</v>
      </c>
    </row>
    <row r="193" spans="2:20" ht="31.5" hidden="1">
      <c r="B193" s="122">
        <v>244</v>
      </c>
      <c r="C193" s="122">
        <v>7</v>
      </c>
      <c r="D193" s="120" t="s">
        <v>281</v>
      </c>
      <c r="E193" s="122">
        <v>1</v>
      </c>
      <c r="F193" s="78"/>
      <c r="G193" s="78">
        <f t="shared" si="11"/>
        <v>0</v>
      </c>
      <c r="H193" s="217" t="s">
        <v>9</v>
      </c>
      <c r="I193" s="217"/>
      <c r="J193" s="217" t="s">
        <v>9</v>
      </c>
      <c r="K193" s="217"/>
      <c r="L193" s="122" t="s">
        <v>9</v>
      </c>
      <c r="M193" s="122" t="s">
        <v>9</v>
      </c>
      <c r="N193" s="122" t="s">
        <v>9</v>
      </c>
      <c r="O193" s="149"/>
      <c r="P193" s="149"/>
    </row>
    <row r="194" spans="2:20" ht="36" hidden="1" customHeight="1">
      <c r="B194" s="122">
        <v>244</v>
      </c>
      <c r="C194" s="122">
        <v>8</v>
      </c>
      <c r="D194" s="120" t="s">
        <v>322</v>
      </c>
      <c r="E194" s="122">
        <v>1</v>
      </c>
      <c r="F194" s="78"/>
      <c r="G194" s="78">
        <f>F194</f>
        <v>0</v>
      </c>
      <c r="H194" s="217" t="s">
        <v>9</v>
      </c>
      <c r="I194" s="217"/>
      <c r="J194" s="217" t="s">
        <v>9</v>
      </c>
      <c r="K194" s="217"/>
      <c r="L194" s="122" t="s">
        <v>9</v>
      </c>
      <c r="M194" s="122" t="s">
        <v>9</v>
      </c>
      <c r="N194" s="122" t="s">
        <v>9</v>
      </c>
      <c r="O194" s="149"/>
      <c r="P194" s="149"/>
    </row>
    <row r="195" spans="2:20" ht="23.25" hidden="1" customHeight="1">
      <c r="B195" s="122">
        <v>244</v>
      </c>
      <c r="C195" s="122">
        <v>9</v>
      </c>
      <c r="D195" s="120" t="s">
        <v>323</v>
      </c>
      <c r="E195" s="122">
        <v>1</v>
      </c>
      <c r="F195" s="78"/>
      <c r="G195" s="78">
        <f t="shared" si="11"/>
        <v>0</v>
      </c>
      <c r="H195" s="217" t="s">
        <v>9</v>
      </c>
      <c r="I195" s="217"/>
      <c r="J195" s="217" t="s">
        <v>9</v>
      </c>
      <c r="K195" s="217"/>
      <c r="L195" s="122" t="s">
        <v>9</v>
      </c>
      <c r="M195" s="122" t="s">
        <v>9</v>
      </c>
      <c r="N195" s="122" t="s">
        <v>9</v>
      </c>
      <c r="O195" s="149"/>
      <c r="P195" s="149"/>
    </row>
    <row r="196" spans="2:20" ht="204.75" customHeight="1">
      <c r="B196" s="122">
        <v>244</v>
      </c>
      <c r="C196" s="122">
        <v>12</v>
      </c>
      <c r="D196" s="120" t="s">
        <v>282</v>
      </c>
      <c r="E196" s="122">
        <v>1</v>
      </c>
      <c r="F196" s="171">
        <v>166655</v>
      </c>
      <c r="G196" s="78">
        <f t="shared" ref="G196:G198" si="12">E196*F196</f>
        <v>166655</v>
      </c>
      <c r="H196" s="217" t="s">
        <v>9</v>
      </c>
      <c r="I196" s="217"/>
      <c r="J196" s="217" t="s">
        <v>9</v>
      </c>
      <c r="K196" s="217"/>
      <c r="L196" s="122" t="s">
        <v>9</v>
      </c>
      <c r="M196" s="122" t="s">
        <v>9</v>
      </c>
      <c r="N196" s="122" t="s">
        <v>9</v>
      </c>
      <c r="O196" s="149"/>
      <c r="P196" s="149"/>
    </row>
    <row r="197" spans="2:20" ht="30" hidden="1" customHeight="1">
      <c r="B197" s="122">
        <v>244</v>
      </c>
      <c r="C197" s="122">
        <v>13</v>
      </c>
      <c r="D197" s="120" t="s">
        <v>280</v>
      </c>
      <c r="E197" s="122">
        <v>1</v>
      </c>
      <c r="F197" s="78">
        <v>0</v>
      </c>
      <c r="G197" s="78">
        <f t="shared" si="12"/>
        <v>0</v>
      </c>
      <c r="H197" s="217" t="s">
        <v>9</v>
      </c>
      <c r="I197" s="217"/>
      <c r="J197" s="217" t="s">
        <v>9</v>
      </c>
      <c r="K197" s="217"/>
      <c r="L197" s="122" t="s">
        <v>9</v>
      </c>
      <c r="M197" s="122" t="s">
        <v>9</v>
      </c>
      <c r="N197" s="122" t="s">
        <v>9</v>
      </c>
      <c r="O197" s="149"/>
      <c r="P197" s="149"/>
    </row>
    <row r="198" spans="2:20" ht="49.5" hidden="1" customHeight="1">
      <c r="B198" s="122">
        <v>244</v>
      </c>
      <c r="C198" s="122">
        <v>20</v>
      </c>
      <c r="D198" s="120" t="s">
        <v>367</v>
      </c>
      <c r="E198" s="122">
        <v>1</v>
      </c>
      <c r="F198" s="78">
        <v>0</v>
      </c>
      <c r="G198" s="78">
        <f t="shared" si="12"/>
        <v>0</v>
      </c>
      <c r="H198" s="217" t="s">
        <v>9</v>
      </c>
      <c r="I198" s="217"/>
      <c r="J198" s="217" t="s">
        <v>9</v>
      </c>
      <c r="K198" s="217"/>
      <c r="L198" s="122" t="s">
        <v>9</v>
      </c>
      <c r="M198" s="122" t="s">
        <v>9</v>
      </c>
      <c r="N198" s="122" t="s">
        <v>9</v>
      </c>
      <c r="O198" s="149"/>
      <c r="P198" s="149"/>
    </row>
    <row r="199" spans="2:20" ht="15.75" customHeight="1">
      <c r="B199" s="166"/>
      <c r="C199" s="225" t="s">
        <v>23</v>
      </c>
      <c r="D199" s="226"/>
      <c r="E199" s="127" t="s">
        <v>9</v>
      </c>
      <c r="F199" s="127" t="s">
        <v>9</v>
      </c>
      <c r="G199" s="79">
        <f>SUM(G181:G196)</f>
        <v>239755</v>
      </c>
      <c r="H199" s="230">
        <f>T181</f>
        <v>37500</v>
      </c>
      <c r="I199" s="230"/>
      <c r="J199" s="230">
        <f>T190</f>
        <v>202255</v>
      </c>
      <c r="K199" s="230"/>
      <c r="L199" s="125">
        <v>0</v>
      </c>
      <c r="M199" s="125">
        <f>T182</f>
        <v>0</v>
      </c>
      <c r="N199" s="125">
        <v>0</v>
      </c>
      <c r="O199" s="156"/>
      <c r="P199" s="156"/>
      <c r="Q199" s="154">
        <f>SUM(H199:M199)</f>
        <v>239755</v>
      </c>
      <c r="R199" s="154"/>
      <c r="T199" s="142">
        <f>Q199-G199</f>
        <v>0</v>
      </c>
    </row>
    <row r="200" spans="2:20" ht="15.75"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165"/>
      <c r="O200" s="165"/>
      <c r="P200" s="165"/>
      <c r="Q200" s="82" t="b">
        <f>G199=Q199</f>
        <v>1</v>
      </c>
    </row>
    <row r="201" spans="2:20" ht="24" customHeight="1">
      <c r="B201" s="70"/>
      <c r="C201" s="222" t="s">
        <v>298</v>
      </c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70"/>
      <c r="O201" s="70"/>
      <c r="P201" s="70"/>
    </row>
    <row r="202" spans="2:20" ht="15.75"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</row>
    <row r="203" spans="2:20" ht="31.5" customHeight="1">
      <c r="B203" s="217" t="s">
        <v>191</v>
      </c>
      <c r="C203" s="217" t="s">
        <v>2</v>
      </c>
      <c r="D203" s="217" t="s">
        <v>24</v>
      </c>
      <c r="E203" s="217" t="s">
        <v>246</v>
      </c>
      <c r="F203" s="217" t="s">
        <v>247</v>
      </c>
      <c r="G203" s="122" t="s">
        <v>208</v>
      </c>
      <c r="H203" s="217" t="s">
        <v>193</v>
      </c>
      <c r="I203" s="217"/>
      <c r="J203" s="217"/>
      <c r="K203" s="217"/>
      <c r="L203" s="217"/>
      <c r="M203" s="217"/>
      <c r="N203" s="217"/>
      <c r="O203" s="156"/>
      <c r="P203" s="156"/>
    </row>
    <row r="204" spans="2:20" ht="99.75" customHeight="1">
      <c r="B204" s="217"/>
      <c r="C204" s="217"/>
      <c r="D204" s="217"/>
      <c r="E204" s="217"/>
      <c r="F204" s="217"/>
      <c r="G204" s="217" t="s">
        <v>240</v>
      </c>
      <c r="H204" s="217" t="s">
        <v>194</v>
      </c>
      <c r="I204" s="217"/>
      <c r="J204" s="237" t="s">
        <v>195</v>
      </c>
      <c r="K204" s="237"/>
      <c r="L204" s="223" t="s">
        <v>196</v>
      </c>
      <c r="M204" s="223" t="s">
        <v>197</v>
      </c>
      <c r="N204" s="223"/>
      <c r="O204" s="156"/>
      <c r="P204" s="149"/>
    </row>
    <row r="205" spans="2:20" ht="15.75" customHeight="1">
      <c r="B205" s="217"/>
      <c r="C205" s="217"/>
      <c r="D205" s="217"/>
      <c r="E205" s="217"/>
      <c r="F205" s="217"/>
      <c r="G205" s="217"/>
      <c r="H205" s="217"/>
      <c r="I205" s="217"/>
      <c r="J205" s="237"/>
      <c r="K205" s="237"/>
      <c r="L205" s="223"/>
      <c r="M205" s="129" t="s">
        <v>14</v>
      </c>
      <c r="N205" s="129" t="s">
        <v>198</v>
      </c>
      <c r="O205" s="149"/>
      <c r="P205" s="149"/>
    </row>
    <row r="206" spans="2:20" ht="15.75">
      <c r="B206" s="122">
        <v>1</v>
      </c>
      <c r="C206" s="122">
        <v>2</v>
      </c>
      <c r="D206" s="122">
        <v>3</v>
      </c>
      <c r="E206" s="122">
        <v>4</v>
      </c>
      <c r="F206" s="122">
        <v>5</v>
      </c>
      <c r="G206" s="122">
        <v>6</v>
      </c>
      <c r="H206" s="217">
        <v>7</v>
      </c>
      <c r="I206" s="217"/>
      <c r="J206" s="217">
        <v>8</v>
      </c>
      <c r="K206" s="217"/>
      <c r="L206" s="122">
        <v>9</v>
      </c>
      <c r="M206" s="122">
        <v>10</v>
      </c>
      <c r="N206" s="122">
        <v>11</v>
      </c>
      <c r="O206" s="149"/>
      <c r="P206" s="149"/>
    </row>
    <row r="207" spans="2:20" ht="40.5" hidden="1" customHeight="1">
      <c r="B207" s="122"/>
      <c r="C207" s="122" t="s">
        <v>199</v>
      </c>
      <c r="D207" s="85"/>
      <c r="E207" s="101"/>
      <c r="F207" s="80"/>
      <c r="G207" s="80"/>
      <c r="H207" s="224" t="s">
        <v>9</v>
      </c>
      <c r="I207" s="224"/>
      <c r="J207" s="224" t="s">
        <v>9</v>
      </c>
      <c r="K207" s="224"/>
      <c r="L207" s="78" t="s">
        <v>9</v>
      </c>
      <c r="M207" s="78" t="s">
        <v>9</v>
      </c>
      <c r="N207" s="78" t="s">
        <v>9</v>
      </c>
      <c r="O207" s="163"/>
      <c r="P207" s="163"/>
    </row>
    <row r="208" spans="2:20" s="162" customFormat="1" ht="15.75">
      <c r="B208" s="122"/>
      <c r="C208" s="225" t="s">
        <v>23</v>
      </c>
      <c r="D208" s="226"/>
      <c r="E208" s="125" t="s">
        <v>9</v>
      </c>
      <c r="F208" s="125" t="s">
        <v>9</v>
      </c>
      <c r="G208" s="125">
        <f>SUM(G207)</f>
        <v>0</v>
      </c>
      <c r="H208" s="227">
        <f>G208</f>
        <v>0</v>
      </c>
      <c r="I208" s="227"/>
      <c r="J208" s="227">
        <v>0</v>
      </c>
      <c r="K208" s="227"/>
      <c r="L208" s="125">
        <v>0</v>
      </c>
      <c r="M208" s="125">
        <v>0</v>
      </c>
      <c r="N208" s="125">
        <v>0</v>
      </c>
      <c r="O208" s="81"/>
      <c r="P208" s="81"/>
      <c r="Q208" s="81" t="s">
        <v>311</v>
      </c>
      <c r="R208" s="81"/>
    </row>
    <row r="209" spans="2:18" s="162" customFormat="1" ht="15.75">
      <c r="B209" s="149"/>
      <c r="C209" s="167"/>
      <c r="D209" s="167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spans="2:18" s="162" customFormat="1" ht="15.75" customHeight="1">
      <c r="B210" s="149"/>
      <c r="C210" s="167"/>
      <c r="D210" s="222" t="s">
        <v>347</v>
      </c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81"/>
      <c r="P210" s="81"/>
      <c r="Q210" s="81"/>
      <c r="R210" s="81"/>
    </row>
    <row r="211" spans="2:18" s="162" customFormat="1" ht="15.75">
      <c r="B211" s="149"/>
      <c r="C211" s="167"/>
      <c r="D211" s="167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spans="2:18" s="162" customFormat="1" ht="15.75">
      <c r="B212" s="217" t="s">
        <v>191</v>
      </c>
      <c r="C212" s="217" t="s">
        <v>2</v>
      </c>
      <c r="D212" s="217" t="s">
        <v>24</v>
      </c>
      <c r="E212" s="217" t="s">
        <v>246</v>
      </c>
      <c r="F212" s="217" t="s">
        <v>247</v>
      </c>
      <c r="G212" s="122" t="s">
        <v>208</v>
      </c>
      <c r="H212" s="217" t="s">
        <v>193</v>
      </c>
      <c r="I212" s="217"/>
      <c r="J212" s="217"/>
      <c r="K212" s="217"/>
      <c r="L212" s="217"/>
      <c r="M212" s="217"/>
      <c r="N212" s="217"/>
      <c r="O212" s="81"/>
      <c r="P212" s="81"/>
      <c r="Q212" s="81"/>
      <c r="R212" s="81"/>
    </row>
    <row r="213" spans="2:18" s="162" customFormat="1" ht="15.75">
      <c r="B213" s="217"/>
      <c r="C213" s="217"/>
      <c r="D213" s="217"/>
      <c r="E213" s="217"/>
      <c r="F213" s="217"/>
      <c r="G213" s="217" t="s">
        <v>240</v>
      </c>
      <c r="H213" s="217" t="s">
        <v>194</v>
      </c>
      <c r="I213" s="217"/>
      <c r="J213" s="237" t="s">
        <v>195</v>
      </c>
      <c r="K213" s="237"/>
      <c r="L213" s="223" t="s">
        <v>196</v>
      </c>
      <c r="M213" s="223" t="s">
        <v>197</v>
      </c>
      <c r="N213" s="223"/>
      <c r="O213" s="81"/>
      <c r="P213" s="81"/>
      <c r="Q213" s="81"/>
      <c r="R213" s="81"/>
    </row>
    <row r="214" spans="2:18" s="162" customFormat="1" ht="111.75" customHeight="1">
      <c r="B214" s="217"/>
      <c r="C214" s="217"/>
      <c r="D214" s="217"/>
      <c r="E214" s="217"/>
      <c r="F214" s="217"/>
      <c r="G214" s="217"/>
      <c r="H214" s="217"/>
      <c r="I214" s="217"/>
      <c r="J214" s="237"/>
      <c r="K214" s="237"/>
      <c r="L214" s="223"/>
      <c r="M214" s="129" t="s">
        <v>14</v>
      </c>
      <c r="N214" s="129" t="s">
        <v>198</v>
      </c>
      <c r="O214" s="81"/>
      <c r="P214" s="81"/>
      <c r="Q214" s="81"/>
      <c r="R214" s="81"/>
    </row>
    <row r="215" spans="2:18" s="162" customFormat="1" ht="15.75">
      <c r="B215" s="122">
        <v>1</v>
      </c>
      <c r="C215" s="122">
        <v>2</v>
      </c>
      <c r="D215" s="122">
        <v>3</v>
      </c>
      <c r="E215" s="122">
        <v>4</v>
      </c>
      <c r="F215" s="122">
        <v>5</v>
      </c>
      <c r="G215" s="122">
        <v>6</v>
      </c>
      <c r="H215" s="217">
        <v>7</v>
      </c>
      <c r="I215" s="217"/>
      <c r="J215" s="217">
        <v>8</v>
      </c>
      <c r="K215" s="217"/>
      <c r="L215" s="122">
        <v>9</v>
      </c>
      <c r="M215" s="122">
        <v>10</v>
      </c>
      <c r="N215" s="122">
        <v>11</v>
      </c>
      <c r="O215" s="81"/>
      <c r="P215" s="81"/>
      <c r="Q215" s="81" t="s">
        <v>351</v>
      </c>
      <c r="R215" s="81"/>
    </row>
    <row r="216" spans="2:18" s="162" customFormat="1" ht="15.75">
      <c r="B216" s="122">
        <v>244</v>
      </c>
      <c r="C216" s="122" t="s">
        <v>199</v>
      </c>
      <c r="D216" s="85"/>
      <c r="E216" s="101"/>
      <c r="F216" s="80"/>
      <c r="G216" s="80">
        <f>F216</f>
        <v>0</v>
      </c>
      <c r="H216" s="224" t="s">
        <v>9</v>
      </c>
      <c r="I216" s="224"/>
      <c r="J216" s="224" t="s">
        <v>9</v>
      </c>
      <c r="K216" s="224"/>
      <c r="L216" s="78" t="s">
        <v>9</v>
      </c>
      <c r="M216" s="78" t="s">
        <v>9</v>
      </c>
      <c r="N216" s="78" t="s">
        <v>9</v>
      </c>
      <c r="O216" s="81"/>
      <c r="P216" s="81"/>
      <c r="Q216" s="81"/>
      <c r="R216" s="81"/>
    </row>
    <row r="217" spans="2:18" s="162" customFormat="1" ht="15.75">
      <c r="B217" s="122"/>
      <c r="C217" s="225" t="s">
        <v>23</v>
      </c>
      <c r="D217" s="226"/>
      <c r="E217" s="125" t="s">
        <v>9</v>
      </c>
      <c r="F217" s="125" t="s">
        <v>9</v>
      </c>
      <c r="G217" s="125">
        <f>SUM(G216)</f>
        <v>0</v>
      </c>
      <c r="H217" s="227">
        <v>0</v>
      </c>
      <c r="I217" s="227"/>
      <c r="J217" s="227">
        <f>G217</f>
        <v>0</v>
      </c>
      <c r="K217" s="227"/>
      <c r="L217" s="125">
        <v>0</v>
      </c>
      <c r="M217" s="125">
        <v>0</v>
      </c>
      <c r="N217" s="125">
        <v>0</v>
      </c>
      <c r="O217" s="81"/>
      <c r="P217" s="81"/>
      <c r="Q217" s="81"/>
      <c r="R217" s="81"/>
    </row>
    <row r="218" spans="2:18" s="162" customFormat="1" ht="15.75" customHeight="1">
      <c r="B218" s="168"/>
      <c r="C218" s="168"/>
      <c r="D218" s="168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</row>
    <row r="219" spans="2:18" ht="26.25" customHeight="1">
      <c r="B219" s="70"/>
      <c r="C219" s="222" t="s">
        <v>348</v>
      </c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70"/>
      <c r="O219" s="70"/>
      <c r="P219" s="70"/>
    </row>
    <row r="220" spans="2:18" ht="15.75" customHeight="1"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</row>
    <row r="221" spans="2:18" ht="31.5" customHeight="1">
      <c r="B221" s="217" t="s">
        <v>191</v>
      </c>
      <c r="C221" s="217" t="s">
        <v>2</v>
      </c>
      <c r="D221" s="217" t="s">
        <v>24</v>
      </c>
      <c r="E221" s="217" t="s">
        <v>238</v>
      </c>
      <c r="F221" s="217" t="s">
        <v>239</v>
      </c>
      <c r="G221" s="122" t="s">
        <v>208</v>
      </c>
      <c r="H221" s="217" t="s">
        <v>193</v>
      </c>
      <c r="I221" s="217"/>
      <c r="J221" s="217"/>
      <c r="K221" s="217"/>
      <c r="L221" s="217"/>
      <c r="M221" s="217"/>
      <c r="N221" s="217"/>
      <c r="O221" s="156"/>
      <c r="P221" s="156"/>
    </row>
    <row r="222" spans="2:18" ht="100.5" customHeight="1">
      <c r="B222" s="217"/>
      <c r="C222" s="217"/>
      <c r="D222" s="217"/>
      <c r="E222" s="217"/>
      <c r="F222" s="217"/>
      <c r="G222" s="217" t="s">
        <v>240</v>
      </c>
      <c r="H222" s="217" t="s">
        <v>194</v>
      </c>
      <c r="I222" s="217"/>
      <c r="J222" s="237" t="s">
        <v>195</v>
      </c>
      <c r="K222" s="237"/>
      <c r="L222" s="223" t="s">
        <v>196</v>
      </c>
      <c r="M222" s="223" t="s">
        <v>197</v>
      </c>
      <c r="N222" s="223"/>
      <c r="O222" s="156"/>
      <c r="P222" s="149"/>
    </row>
    <row r="223" spans="2:18" ht="31.5">
      <c r="B223" s="217"/>
      <c r="C223" s="217"/>
      <c r="D223" s="217"/>
      <c r="E223" s="217"/>
      <c r="F223" s="217"/>
      <c r="G223" s="217"/>
      <c r="H223" s="217"/>
      <c r="I223" s="217"/>
      <c r="J223" s="237"/>
      <c r="K223" s="237"/>
      <c r="L223" s="223"/>
      <c r="M223" s="129" t="s">
        <v>14</v>
      </c>
      <c r="N223" s="129" t="s">
        <v>198</v>
      </c>
      <c r="O223" s="149"/>
      <c r="P223" s="149"/>
    </row>
    <row r="224" spans="2:18" ht="15.75" customHeight="1">
      <c r="B224" s="122">
        <v>1</v>
      </c>
      <c r="C224" s="122">
        <v>2</v>
      </c>
      <c r="D224" s="122">
        <v>3</v>
      </c>
      <c r="E224" s="122">
        <v>4</v>
      </c>
      <c r="F224" s="122">
        <v>5</v>
      </c>
      <c r="G224" s="122">
        <v>6</v>
      </c>
      <c r="H224" s="217">
        <v>7</v>
      </c>
      <c r="I224" s="217"/>
      <c r="J224" s="217">
        <v>8</v>
      </c>
      <c r="K224" s="217"/>
      <c r="L224" s="122">
        <v>9</v>
      </c>
      <c r="M224" s="122">
        <v>10</v>
      </c>
      <c r="N224" s="122">
        <v>11</v>
      </c>
      <c r="O224" s="149"/>
      <c r="P224" s="149"/>
    </row>
    <row r="225" spans="2:16" ht="34.5" customHeight="1">
      <c r="B225" s="122">
        <v>244</v>
      </c>
      <c r="C225" s="122">
        <v>1</v>
      </c>
      <c r="D225" s="120" t="s">
        <v>435</v>
      </c>
      <c r="E225" s="122">
        <v>1</v>
      </c>
      <c r="F225" s="78">
        <v>97000</v>
      </c>
      <c r="G225" s="78">
        <f>F225</f>
        <v>97000</v>
      </c>
      <c r="H225" s="218" t="s">
        <v>9</v>
      </c>
      <c r="I225" s="219"/>
      <c r="J225" s="218" t="s">
        <v>9</v>
      </c>
      <c r="K225" s="219"/>
      <c r="L225" s="122" t="s">
        <v>9</v>
      </c>
      <c r="M225" s="122" t="s">
        <v>9</v>
      </c>
      <c r="N225" s="122" t="s">
        <v>9</v>
      </c>
      <c r="O225" s="149"/>
      <c r="P225" s="149"/>
    </row>
    <row r="226" spans="2:16" ht="15.75" hidden="1" customHeight="1">
      <c r="B226" s="122">
        <v>244</v>
      </c>
      <c r="C226" s="122">
        <v>2</v>
      </c>
      <c r="D226" s="120" t="s">
        <v>399</v>
      </c>
      <c r="E226" s="122">
        <v>1</v>
      </c>
      <c r="F226" s="78">
        <v>0</v>
      </c>
      <c r="G226" s="78">
        <f t="shared" ref="G226:G228" si="13">F226</f>
        <v>0</v>
      </c>
      <c r="H226" s="218" t="s">
        <v>9</v>
      </c>
      <c r="I226" s="219"/>
      <c r="J226" s="218" t="s">
        <v>9</v>
      </c>
      <c r="K226" s="219"/>
      <c r="L226" s="122" t="s">
        <v>9</v>
      </c>
      <c r="M226" s="122" t="s">
        <v>9</v>
      </c>
      <c r="N226" s="122" t="s">
        <v>9</v>
      </c>
      <c r="O226" s="149"/>
      <c r="P226" s="149"/>
    </row>
    <row r="227" spans="2:16" ht="15.75" hidden="1" customHeight="1">
      <c r="B227" s="122">
        <v>244</v>
      </c>
      <c r="C227" s="122">
        <v>3</v>
      </c>
      <c r="D227" s="120" t="s">
        <v>400</v>
      </c>
      <c r="E227" s="122">
        <v>1</v>
      </c>
      <c r="F227" s="78">
        <v>0</v>
      </c>
      <c r="G227" s="78">
        <f t="shared" si="13"/>
        <v>0</v>
      </c>
      <c r="H227" s="218" t="s">
        <v>9</v>
      </c>
      <c r="I227" s="219"/>
      <c r="J227" s="218" t="s">
        <v>9</v>
      </c>
      <c r="K227" s="219"/>
      <c r="L227" s="122" t="s">
        <v>9</v>
      </c>
      <c r="M227" s="122" t="s">
        <v>9</v>
      </c>
      <c r="N227" s="122" t="s">
        <v>9</v>
      </c>
      <c r="O227" s="149"/>
      <c r="P227" s="149"/>
    </row>
    <row r="228" spans="2:16" ht="15.75" hidden="1" customHeight="1">
      <c r="B228" s="122">
        <v>244</v>
      </c>
      <c r="C228" s="122">
        <v>4</v>
      </c>
      <c r="D228" s="120" t="s">
        <v>401</v>
      </c>
      <c r="E228" s="122">
        <v>1</v>
      </c>
      <c r="F228" s="78">
        <v>0</v>
      </c>
      <c r="G228" s="78">
        <f t="shared" si="13"/>
        <v>0</v>
      </c>
      <c r="H228" s="218" t="s">
        <v>9</v>
      </c>
      <c r="I228" s="219"/>
      <c r="J228" s="218" t="s">
        <v>9</v>
      </c>
      <c r="K228" s="219"/>
      <c r="L228" s="122" t="s">
        <v>9</v>
      </c>
      <c r="M228" s="122" t="s">
        <v>9</v>
      </c>
      <c r="N228" s="122" t="s">
        <v>9</v>
      </c>
      <c r="O228" s="149"/>
      <c r="P228" s="149"/>
    </row>
    <row r="229" spans="2:16" ht="15.75" hidden="1" customHeight="1">
      <c r="B229" s="122">
        <v>244</v>
      </c>
      <c r="C229" s="122">
        <v>5</v>
      </c>
      <c r="D229" s="120" t="s">
        <v>410</v>
      </c>
      <c r="E229" s="122">
        <v>1</v>
      </c>
      <c r="F229" s="78">
        <v>0</v>
      </c>
      <c r="G229" s="78">
        <f t="shared" ref="G229:G234" si="14">F229</f>
        <v>0</v>
      </c>
      <c r="H229" s="218" t="s">
        <v>9</v>
      </c>
      <c r="I229" s="219"/>
      <c r="J229" s="218" t="s">
        <v>9</v>
      </c>
      <c r="K229" s="219"/>
      <c r="L229" s="122" t="s">
        <v>9</v>
      </c>
      <c r="M229" s="122" t="s">
        <v>9</v>
      </c>
      <c r="N229" s="180" t="s">
        <v>9</v>
      </c>
      <c r="O229" s="149"/>
      <c r="P229" s="149"/>
    </row>
    <row r="230" spans="2:16" ht="15.75" hidden="1" customHeight="1">
      <c r="B230" s="180">
        <v>244</v>
      </c>
      <c r="C230" s="180">
        <v>6</v>
      </c>
      <c r="D230" s="120" t="s">
        <v>422</v>
      </c>
      <c r="E230" s="180">
        <v>1</v>
      </c>
      <c r="F230" s="182">
        <v>0</v>
      </c>
      <c r="G230" s="182">
        <f t="shared" si="14"/>
        <v>0</v>
      </c>
      <c r="H230" s="218" t="s">
        <v>9</v>
      </c>
      <c r="I230" s="219"/>
      <c r="J230" s="218" t="s">
        <v>9</v>
      </c>
      <c r="K230" s="219"/>
      <c r="L230" s="180"/>
      <c r="M230" s="180"/>
      <c r="N230" s="180" t="s">
        <v>9</v>
      </c>
      <c r="O230" s="181"/>
      <c r="P230" s="181"/>
    </row>
    <row r="231" spans="2:16" ht="35.25" hidden="1" customHeight="1">
      <c r="B231" s="180">
        <v>244</v>
      </c>
      <c r="C231" s="180">
        <v>7</v>
      </c>
      <c r="D231" s="120" t="s">
        <v>421</v>
      </c>
      <c r="E231" s="180">
        <v>1</v>
      </c>
      <c r="F231" s="182">
        <v>0</v>
      </c>
      <c r="G231" s="182">
        <f t="shared" si="14"/>
        <v>0</v>
      </c>
      <c r="H231" s="218" t="s">
        <v>9</v>
      </c>
      <c r="I231" s="219"/>
      <c r="J231" s="218" t="s">
        <v>9</v>
      </c>
      <c r="K231" s="219"/>
      <c r="L231" s="180" t="s">
        <v>9</v>
      </c>
      <c r="M231" s="180" t="s">
        <v>9</v>
      </c>
      <c r="N231" s="180" t="s">
        <v>9</v>
      </c>
      <c r="O231" s="181"/>
      <c r="P231" s="181"/>
    </row>
    <row r="232" spans="2:16" ht="15.75" hidden="1" customHeight="1">
      <c r="B232" s="122">
        <v>244</v>
      </c>
      <c r="C232" s="122">
        <v>8</v>
      </c>
      <c r="D232" s="120" t="s">
        <v>407</v>
      </c>
      <c r="E232" s="122">
        <v>1</v>
      </c>
      <c r="F232" s="78">
        <v>0</v>
      </c>
      <c r="G232" s="78">
        <f t="shared" si="14"/>
        <v>0</v>
      </c>
      <c r="H232" s="218" t="s">
        <v>9</v>
      </c>
      <c r="I232" s="219"/>
      <c r="J232" s="218" t="s">
        <v>9</v>
      </c>
      <c r="K232" s="219"/>
      <c r="L232" s="122" t="s">
        <v>9</v>
      </c>
      <c r="M232" s="122" t="s">
        <v>9</v>
      </c>
      <c r="N232" s="122" t="s">
        <v>9</v>
      </c>
      <c r="O232" s="149"/>
      <c r="P232" s="149"/>
    </row>
    <row r="233" spans="2:16" ht="15.75" hidden="1" customHeight="1">
      <c r="B233" s="122">
        <v>244</v>
      </c>
      <c r="C233" s="122"/>
      <c r="D233" s="120"/>
      <c r="E233" s="122">
        <v>1</v>
      </c>
      <c r="F233" s="78"/>
      <c r="G233" s="78">
        <f t="shared" si="14"/>
        <v>0</v>
      </c>
      <c r="H233" s="218" t="s">
        <v>9</v>
      </c>
      <c r="I233" s="219"/>
      <c r="J233" s="218" t="s">
        <v>9</v>
      </c>
      <c r="K233" s="219"/>
      <c r="L233" s="122" t="s">
        <v>9</v>
      </c>
      <c r="M233" s="122" t="s">
        <v>9</v>
      </c>
      <c r="N233" s="122" t="s">
        <v>9</v>
      </c>
      <c r="O233" s="149"/>
      <c r="P233" s="149"/>
    </row>
    <row r="234" spans="2:16" ht="34.5" hidden="1" customHeight="1">
      <c r="B234" s="122">
        <v>244</v>
      </c>
      <c r="C234" s="122"/>
      <c r="D234" s="85"/>
      <c r="E234" s="122">
        <v>1</v>
      </c>
      <c r="F234" s="78"/>
      <c r="G234" s="78">
        <f t="shared" si="14"/>
        <v>0</v>
      </c>
      <c r="H234" s="218" t="s">
        <v>9</v>
      </c>
      <c r="I234" s="219"/>
      <c r="J234" s="218" t="s">
        <v>9</v>
      </c>
      <c r="K234" s="219"/>
      <c r="L234" s="122" t="s">
        <v>9</v>
      </c>
      <c r="M234" s="122" t="s">
        <v>9</v>
      </c>
      <c r="N234" s="122" t="s">
        <v>9</v>
      </c>
      <c r="O234" s="149"/>
      <c r="P234" s="149"/>
    </row>
    <row r="235" spans="2:16" s="162" customFormat="1" ht="15.75">
      <c r="B235" s="85"/>
      <c r="C235" s="225" t="s">
        <v>23</v>
      </c>
      <c r="D235" s="226"/>
      <c r="E235" s="127" t="s">
        <v>9</v>
      </c>
      <c r="F235" s="127" t="s">
        <v>9</v>
      </c>
      <c r="G235" s="79">
        <f>G225</f>
        <v>97000</v>
      </c>
      <c r="H235" s="227">
        <v>0</v>
      </c>
      <c r="I235" s="227"/>
      <c r="J235" s="227">
        <f>G225</f>
        <v>97000</v>
      </c>
      <c r="K235" s="228"/>
      <c r="L235" s="79">
        <v>0</v>
      </c>
      <c r="M235" s="79">
        <v>0</v>
      </c>
      <c r="N235" s="79">
        <v>0</v>
      </c>
      <c r="O235" s="81"/>
      <c r="P235" s="81"/>
    </row>
    <row r="236" spans="2:16" ht="15.75" customHeight="1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</row>
    <row r="237" spans="2:16" ht="24.75" customHeight="1">
      <c r="B237" s="70"/>
      <c r="C237" s="222" t="s">
        <v>349</v>
      </c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70"/>
      <c r="O237" s="70"/>
      <c r="P237" s="70"/>
    </row>
    <row r="238" spans="2:16" ht="31.5" customHeight="1">
      <c r="B238" s="217" t="s">
        <v>191</v>
      </c>
      <c r="C238" s="217" t="s">
        <v>2</v>
      </c>
      <c r="D238" s="231" t="s">
        <v>24</v>
      </c>
      <c r="E238" s="232"/>
      <c r="F238" s="217" t="s">
        <v>37</v>
      </c>
      <c r="G238" s="217" t="s">
        <v>239</v>
      </c>
      <c r="H238" s="122" t="s">
        <v>208</v>
      </c>
      <c r="I238" s="217" t="s">
        <v>193</v>
      </c>
      <c r="J238" s="217"/>
      <c r="K238" s="217"/>
      <c r="L238" s="217"/>
      <c r="M238" s="217"/>
      <c r="N238" s="217"/>
      <c r="O238" s="217"/>
      <c r="P238" s="156"/>
    </row>
    <row r="239" spans="2:16" ht="96.75" customHeight="1">
      <c r="B239" s="217"/>
      <c r="C239" s="217"/>
      <c r="D239" s="233"/>
      <c r="E239" s="234"/>
      <c r="F239" s="217"/>
      <c r="G239" s="217"/>
      <c r="H239" s="217" t="s">
        <v>240</v>
      </c>
      <c r="I239" s="217" t="s">
        <v>194</v>
      </c>
      <c r="J239" s="217"/>
      <c r="K239" s="237" t="s">
        <v>195</v>
      </c>
      <c r="L239" s="237"/>
      <c r="M239" s="223" t="s">
        <v>196</v>
      </c>
      <c r="N239" s="223" t="s">
        <v>197</v>
      </c>
      <c r="O239" s="223"/>
      <c r="P239" s="156"/>
    </row>
    <row r="240" spans="2:16" ht="31.5">
      <c r="B240" s="217"/>
      <c r="C240" s="217"/>
      <c r="D240" s="235"/>
      <c r="E240" s="236"/>
      <c r="F240" s="217"/>
      <c r="G240" s="217"/>
      <c r="H240" s="217"/>
      <c r="I240" s="217"/>
      <c r="J240" s="217"/>
      <c r="K240" s="237"/>
      <c r="L240" s="237"/>
      <c r="M240" s="223"/>
      <c r="N240" s="129" t="s">
        <v>14</v>
      </c>
      <c r="O240" s="129" t="s">
        <v>198</v>
      </c>
      <c r="P240" s="149"/>
    </row>
    <row r="241" spans="2:21" ht="15.75" customHeight="1">
      <c r="B241" s="122">
        <v>1</v>
      </c>
      <c r="C241" s="122">
        <v>2</v>
      </c>
      <c r="D241" s="218">
        <v>3</v>
      </c>
      <c r="E241" s="219"/>
      <c r="F241" s="122">
        <v>4</v>
      </c>
      <c r="G241" s="122">
        <v>5</v>
      </c>
      <c r="H241" s="174">
        <v>6</v>
      </c>
      <c r="I241" s="217">
        <v>7</v>
      </c>
      <c r="J241" s="217"/>
      <c r="K241" s="217">
        <v>8</v>
      </c>
      <c r="L241" s="217"/>
      <c r="M241" s="122">
        <v>9</v>
      </c>
      <c r="N241" s="122">
        <v>10</v>
      </c>
      <c r="O241" s="122">
        <v>11</v>
      </c>
      <c r="P241" s="149"/>
      <c r="U241" s="82" t="s">
        <v>340</v>
      </c>
    </row>
    <row r="242" spans="2:21" ht="33" customHeight="1">
      <c r="B242" s="122">
        <v>244</v>
      </c>
      <c r="C242" s="122" t="s">
        <v>199</v>
      </c>
      <c r="D242" s="220" t="s">
        <v>283</v>
      </c>
      <c r="E242" s="221"/>
      <c r="F242" s="122">
        <f>ROUND((H242/G242),0)</f>
        <v>0</v>
      </c>
      <c r="G242" s="78">
        <v>170</v>
      </c>
      <c r="H242" s="175">
        <v>0</v>
      </c>
      <c r="I242" s="217" t="s">
        <v>9</v>
      </c>
      <c r="J242" s="217"/>
      <c r="K242" s="217" t="s">
        <v>9</v>
      </c>
      <c r="L242" s="217"/>
      <c r="M242" s="122" t="s">
        <v>9</v>
      </c>
      <c r="N242" s="122" t="s">
        <v>9</v>
      </c>
      <c r="O242" s="122" t="s">
        <v>9</v>
      </c>
      <c r="P242" s="149"/>
      <c r="Q242" s="81" t="s">
        <v>315</v>
      </c>
      <c r="R242" s="81"/>
      <c r="S242" s="102" t="s">
        <v>305</v>
      </c>
      <c r="T242" s="170">
        <v>10500</v>
      </c>
    </row>
    <row r="243" spans="2:21" ht="17.25" customHeight="1">
      <c r="B243" s="122">
        <v>244</v>
      </c>
      <c r="C243" s="122" t="s">
        <v>177</v>
      </c>
      <c r="D243" s="220" t="s">
        <v>263</v>
      </c>
      <c r="E243" s="221"/>
      <c r="F243" s="122">
        <f t="shared" ref="F243:F245" si="15">ROUND((H243/G243),0)</f>
        <v>156890</v>
      </c>
      <c r="G243" s="122">
        <v>23.66</v>
      </c>
      <c r="H243" s="175">
        <v>3712024.33</v>
      </c>
      <c r="I243" s="217" t="s">
        <v>9</v>
      </c>
      <c r="J243" s="217"/>
      <c r="K243" s="217" t="s">
        <v>9</v>
      </c>
      <c r="L243" s="217"/>
      <c r="M243" s="122" t="s">
        <v>9</v>
      </c>
      <c r="N243" s="122" t="s">
        <v>9</v>
      </c>
      <c r="O243" s="122" t="s">
        <v>9</v>
      </c>
      <c r="P243" s="149"/>
      <c r="Q243" s="81" t="s">
        <v>316</v>
      </c>
      <c r="R243" s="81"/>
      <c r="S243" s="102" t="s">
        <v>299</v>
      </c>
      <c r="T243" s="153">
        <v>1527893.05</v>
      </c>
      <c r="U243" s="82">
        <v>0</v>
      </c>
    </row>
    <row r="244" spans="2:21" ht="17.25" hidden="1" customHeight="1">
      <c r="B244" s="122"/>
      <c r="C244" s="122">
        <v>3</v>
      </c>
      <c r="D244" s="220" t="s">
        <v>411</v>
      </c>
      <c r="E244" s="221"/>
      <c r="F244" s="122">
        <v>1</v>
      </c>
      <c r="G244" s="122">
        <v>312</v>
      </c>
      <c r="H244" s="175">
        <v>0</v>
      </c>
      <c r="I244" s="217" t="s">
        <v>9</v>
      </c>
      <c r="J244" s="217"/>
      <c r="K244" s="217" t="s">
        <v>9</v>
      </c>
      <c r="L244" s="217"/>
      <c r="M244" s="122" t="s">
        <v>9</v>
      </c>
      <c r="N244" s="122" t="s">
        <v>9</v>
      </c>
      <c r="O244" s="122" t="s">
        <v>9</v>
      </c>
      <c r="P244" s="149"/>
      <c r="Q244" s="81" t="s">
        <v>418</v>
      </c>
      <c r="R244" s="81"/>
      <c r="S244" s="102"/>
      <c r="T244" s="153"/>
    </row>
    <row r="245" spans="2:21" ht="31.5" hidden="1" customHeight="1">
      <c r="B245" s="122">
        <v>244</v>
      </c>
      <c r="C245" s="122">
        <v>4</v>
      </c>
      <c r="D245" s="220" t="s">
        <v>314</v>
      </c>
      <c r="E245" s="221"/>
      <c r="F245" s="122">
        <f t="shared" si="15"/>
        <v>0</v>
      </c>
      <c r="G245" s="78">
        <v>554.4</v>
      </c>
      <c r="H245" s="175">
        <v>0</v>
      </c>
      <c r="I245" s="217" t="s">
        <v>9</v>
      </c>
      <c r="J245" s="217"/>
      <c r="K245" s="217" t="s">
        <v>9</v>
      </c>
      <c r="L245" s="217"/>
      <c r="M245" s="122" t="s">
        <v>9</v>
      </c>
      <c r="N245" s="122" t="s">
        <v>9</v>
      </c>
      <c r="O245" s="122" t="s">
        <v>9</v>
      </c>
      <c r="P245" s="149"/>
      <c r="Q245" s="81" t="s">
        <v>317</v>
      </c>
      <c r="R245" s="81"/>
      <c r="S245" s="102" t="s">
        <v>313</v>
      </c>
      <c r="T245" s="153">
        <v>2413740.5499999998</v>
      </c>
    </row>
    <row r="246" spans="2:21" ht="30.75" customHeight="1">
      <c r="B246" s="122">
        <v>244</v>
      </c>
      <c r="C246" s="122">
        <v>5</v>
      </c>
      <c r="D246" s="220" t="s">
        <v>284</v>
      </c>
      <c r="E246" s="221"/>
      <c r="F246" s="122" t="s">
        <v>9</v>
      </c>
      <c r="G246" s="122" t="s">
        <v>9</v>
      </c>
      <c r="H246" s="80">
        <f>SUM(H247:H254)</f>
        <v>240109.27</v>
      </c>
      <c r="I246" s="217" t="s">
        <v>9</v>
      </c>
      <c r="J246" s="217"/>
      <c r="K246" s="217" t="s">
        <v>9</v>
      </c>
      <c r="L246" s="217"/>
      <c r="M246" s="122" t="s">
        <v>9</v>
      </c>
      <c r="N246" s="122" t="s">
        <v>9</v>
      </c>
      <c r="O246" s="122" t="s">
        <v>9</v>
      </c>
      <c r="P246" s="149"/>
      <c r="Q246" s="81" t="s">
        <v>318</v>
      </c>
      <c r="R246" s="81"/>
      <c r="S246" s="102" t="s">
        <v>7</v>
      </c>
      <c r="T246" s="153">
        <f>SUM(T242:T245)</f>
        <v>3952133.5999999996</v>
      </c>
      <c r="U246" s="82">
        <f>SUM(U242:U245)</f>
        <v>0</v>
      </c>
    </row>
    <row r="247" spans="2:21" ht="57" customHeight="1">
      <c r="B247" s="122">
        <v>244</v>
      </c>
      <c r="C247" s="122" t="s">
        <v>412</v>
      </c>
      <c r="D247" s="220" t="s">
        <v>371</v>
      </c>
      <c r="E247" s="221"/>
      <c r="F247" s="122">
        <f>ROUND((H247/G247),0)</f>
        <v>1</v>
      </c>
      <c r="G247" s="78">
        <v>229645.27</v>
      </c>
      <c r="H247" s="175">
        <f>G247</f>
        <v>229645.27</v>
      </c>
      <c r="I247" s="217" t="s">
        <v>9</v>
      </c>
      <c r="J247" s="217"/>
      <c r="K247" s="217" t="s">
        <v>9</v>
      </c>
      <c r="L247" s="217"/>
      <c r="M247" s="122" t="s">
        <v>9</v>
      </c>
      <c r="N247" s="137" t="s">
        <v>9</v>
      </c>
      <c r="O247" s="122" t="s">
        <v>9</v>
      </c>
      <c r="P247" s="149"/>
      <c r="T247" s="82" t="b">
        <f>H256=U247</f>
        <v>1</v>
      </c>
      <c r="U247" s="142">
        <f>T246+U246</f>
        <v>3952133.5999999996</v>
      </c>
    </row>
    <row r="248" spans="2:21" ht="30" customHeight="1">
      <c r="B248" s="122">
        <v>244</v>
      </c>
      <c r="C248" s="122" t="s">
        <v>413</v>
      </c>
      <c r="D248" s="220" t="s">
        <v>384</v>
      </c>
      <c r="E248" s="221"/>
      <c r="F248" s="122">
        <v>1</v>
      </c>
      <c r="G248" s="78">
        <v>10464</v>
      </c>
      <c r="H248" s="175">
        <f>G248</f>
        <v>10464</v>
      </c>
      <c r="I248" s="217" t="s">
        <v>9</v>
      </c>
      <c r="J248" s="217"/>
      <c r="K248" s="217" t="s">
        <v>9</v>
      </c>
      <c r="L248" s="217"/>
      <c r="M248" s="122" t="s">
        <v>9</v>
      </c>
      <c r="N248" s="122" t="s">
        <v>9</v>
      </c>
      <c r="O248" s="122" t="s">
        <v>9</v>
      </c>
      <c r="P248" s="149"/>
      <c r="U248" s="154"/>
    </row>
    <row r="249" spans="2:21" ht="36.75" hidden="1" customHeight="1">
      <c r="B249" s="122">
        <v>244</v>
      </c>
      <c r="C249" s="122" t="s">
        <v>414</v>
      </c>
      <c r="D249" s="220" t="s">
        <v>339</v>
      </c>
      <c r="E249" s="221"/>
      <c r="F249" s="122">
        <v>1</v>
      </c>
      <c r="G249" s="122">
        <v>0</v>
      </c>
      <c r="H249" s="78">
        <f>G249</f>
        <v>0</v>
      </c>
      <c r="I249" s="218" t="s">
        <v>9</v>
      </c>
      <c r="J249" s="219"/>
      <c r="K249" s="218" t="s">
        <v>9</v>
      </c>
      <c r="L249" s="219"/>
      <c r="M249" s="122" t="s">
        <v>9</v>
      </c>
      <c r="N249" s="122" t="s">
        <v>9</v>
      </c>
      <c r="O249" s="122" t="s">
        <v>9</v>
      </c>
      <c r="P249" s="149"/>
    </row>
    <row r="250" spans="2:21" ht="17.25" hidden="1" customHeight="1">
      <c r="B250" s="122">
        <v>244</v>
      </c>
      <c r="C250" s="122" t="s">
        <v>385</v>
      </c>
      <c r="D250" s="220" t="s">
        <v>285</v>
      </c>
      <c r="E250" s="221"/>
      <c r="F250" s="122">
        <v>1</v>
      </c>
      <c r="G250" s="122"/>
      <c r="H250" s="78">
        <f t="shared" ref="H250:H253" si="16">G250</f>
        <v>0</v>
      </c>
      <c r="I250" s="217" t="s">
        <v>9</v>
      </c>
      <c r="J250" s="217"/>
      <c r="K250" s="217" t="s">
        <v>9</v>
      </c>
      <c r="L250" s="217"/>
      <c r="M250" s="122" t="s">
        <v>9</v>
      </c>
      <c r="N250" s="122" t="s">
        <v>9</v>
      </c>
      <c r="O250" s="122" t="s">
        <v>9</v>
      </c>
      <c r="P250" s="149"/>
    </row>
    <row r="251" spans="2:21" ht="19.5" hidden="1" customHeight="1">
      <c r="B251" s="122">
        <v>244</v>
      </c>
      <c r="C251" s="122" t="s">
        <v>387</v>
      </c>
      <c r="D251" s="220" t="s">
        <v>286</v>
      </c>
      <c r="E251" s="221"/>
      <c r="F251" s="122">
        <v>1</v>
      </c>
      <c r="G251" s="122"/>
      <c r="H251" s="78">
        <f t="shared" si="16"/>
        <v>0</v>
      </c>
      <c r="I251" s="217" t="s">
        <v>9</v>
      </c>
      <c r="J251" s="217"/>
      <c r="K251" s="217" t="s">
        <v>9</v>
      </c>
      <c r="L251" s="217"/>
      <c r="M251" s="122" t="s">
        <v>9</v>
      </c>
      <c r="N251" s="122" t="s">
        <v>9</v>
      </c>
      <c r="O251" s="122" t="s">
        <v>9</v>
      </c>
      <c r="P251" s="149"/>
    </row>
    <row r="252" spans="2:21" ht="19.5" hidden="1" customHeight="1">
      <c r="B252" s="122">
        <v>244</v>
      </c>
      <c r="C252" s="122" t="s">
        <v>388</v>
      </c>
      <c r="D252" s="220" t="s">
        <v>368</v>
      </c>
      <c r="E252" s="221"/>
      <c r="F252" s="122">
        <v>1</v>
      </c>
      <c r="G252" s="122"/>
      <c r="H252" s="78">
        <f t="shared" si="16"/>
        <v>0</v>
      </c>
      <c r="I252" s="217" t="s">
        <v>9</v>
      </c>
      <c r="J252" s="217"/>
      <c r="K252" s="217" t="s">
        <v>9</v>
      </c>
      <c r="L252" s="217"/>
      <c r="M252" s="122" t="s">
        <v>9</v>
      </c>
      <c r="N252" s="122" t="s">
        <v>9</v>
      </c>
      <c r="O252" s="122" t="s">
        <v>9</v>
      </c>
      <c r="P252" s="149"/>
    </row>
    <row r="253" spans="2:21" ht="18" hidden="1" customHeight="1">
      <c r="B253" s="122">
        <v>244</v>
      </c>
      <c r="C253" s="169" t="s">
        <v>415</v>
      </c>
      <c r="D253" s="220" t="s">
        <v>369</v>
      </c>
      <c r="E253" s="221"/>
      <c r="F253" s="122">
        <v>1</v>
      </c>
      <c r="G253" s="122">
        <v>0</v>
      </c>
      <c r="H253" s="78">
        <f t="shared" si="16"/>
        <v>0</v>
      </c>
      <c r="I253" s="217" t="s">
        <v>9</v>
      </c>
      <c r="J253" s="217"/>
      <c r="K253" s="217" t="s">
        <v>9</v>
      </c>
      <c r="L253" s="217"/>
      <c r="M253" s="122" t="s">
        <v>9</v>
      </c>
      <c r="N253" s="122" t="s">
        <v>9</v>
      </c>
      <c r="O253" s="122" t="s">
        <v>9</v>
      </c>
      <c r="P253" s="149"/>
    </row>
    <row r="254" spans="2:21" ht="17.25" hidden="1" customHeight="1">
      <c r="B254" s="122">
        <v>244</v>
      </c>
      <c r="C254" s="174" t="s">
        <v>417</v>
      </c>
      <c r="D254" s="220" t="s">
        <v>320</v>
      </c>
      <c r="E254" s="221"/>
      <c r="F254" s="122">
        <v>1</v>
      </c>
      <c r="G254" s="122">
        <f>7463-7463</f>
        <v>0</v>
      </c>
      <c r="H254" s="78">
        <f>G254</f>
        <v>0</v>
      </c>
      <c r="I254" s="217" t="s">
        <v>9</v>
      </c>
      <c r="J254" s="217"/>
      <c r="K254" s="217" t="s">
        <v>9</v>
      </c>
      <c r="L254" s="217"/>
      <c r="M254" s="122" t="s">
        <v>9</v>
      </c>
      <c r="N254" s="122" t="s">
        <v>9</v>
      </c>
      <c r="O254" s="122" t="s">
        <v>9</v>
      </c>
      <c r="P254" s="149"/>
      <c r="Q254" s="82" t="s">
        <v>391</v>
      </c>
    </row>
    <row r="255" spans="2:21" ht="48.75" hidden="1" customHeight="1">
      <c r="B255" s="122">
        <v>244</v>
      </c>
      <c r="C255" s="122">
        <v>6</v>
      </c>
      <c r="D255" s="220" t="s">
        <v>390</v>
      </c>
      <c r="E255" s="221"/>
      <c r="F255" s="122">
        <v>1</v>
      </c>
      <c r="G255" s="122">
        <v>0</v>
      </c>
      <c r="H255" s="78">
        <f>G255</f>
        <v>0</v>
      </c>
      <c r="I255" s="217" t="s">
        <v>9</v>
      </c>
      <c r="J255" s="217"/>
      <c r="K255" s="217" t="s">
        <v>9</v>
      </c>
      <c r="L255" s="217"/>
      <c r="M255" s="122" t="s">
        <v>9</v>
      </c>
      <c r="N255" s="122" t="s">
        <v>9</v>
      </c>
      <c r="O255" s="122" t="s">
        <v>9</v>
      </c>
      <c r="P255" s="149"/>
      <c r="Q255" s="81" t="s">
        <v>319</v>
      </c>
      <c r="R255" s="81"/>
    </row>
    <row r="256" spans="2:21" ht="15.75" customHeight="1">
      <c r="B256" s="85"/>
      <c r="C256" s="225" t="s">
        <v>23</v>
      </c>
      <c r="D256" s="229"/>
      <c r="E256" s="226"/>
      <c r="F256" s="127" t="s">
        <v>9</v>
      </c>
      <c r="G256" s="127" t="s">
        <v>9</v>
      </c>
      <c r="H256" s="79">
        <f>H243+H244+H245+H246+H255</f>
        <v>3952133.6</v>
      </c>
      <c r="I256" s="230">
        <f>T242</f>
        <v>10500</v>
      </c>
      <c r="J256" s="230"/>
      <c r="K256" s="230">
        <f>T245</f>
        <v>2413740.5499999998</v>
      </c>
      <c r="L256" s="230"/>
      <c r="M256" s="79">
        <v>0</v>
      </c>
      <c r="N256" s="79">
        <f>T243+U243</f>
        <v>1527893.05</v>
      </c>
      <c r="O256" s="125">
        <v>0</v>
      </c>
      <c r="P256" s="156"/>
      <c r="Q256" s="81" t="s">
        <v>312</v>
      </c>
      <c r="R256" s="81"/>
      <c r="S256" s="154">
        <f>SUM(I256:N256)</f>
        <v>3952133.5999999996</v>
      </c>
      <c r="U256" s="142">
        <f>S256-H256</f>
        <v>0</v>
      </c>
    </row>
    <row r="257" spans="2:19" ht="15.75" customHeight="1"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S257" s="82" t="b">
        <f>S256=H256</f>
        <v>1</v>
      </c>
    </row>
    <row r="258" spans="2:19" ht="15" customHeight="1"/>
    <row r="259" spans="2:19" ht="15" customHeight="1"/>
    <row r="260" spans="2:19" ht="15" customHeight="1"/>
    <row r="261" spans="2:19" ht="15" customHeight="1"/>
    <row r="262" spans="2:19" ht="15" customHeight="1">
      <c r="D262" s="142">
        <f>H262-F262</f>
        <v>0</v>
      </c>
      <c r="E262" s="102" t="s">
        <v>321</v>
      </c>
      <c r="F262" s="172">
        <f>L16+G25+I34+I43+H58+H69+I81+F90+F99+H110+H119+I130+H139+J152+H173+H199+H208+H235+I256</f>
        <v>26117880.270000003</v>
      </c>
      <c r="G262" s="82" t="b">
        <f>F262=H262</f>
        <v>1</v>
      </c>
      <c r="H262" s="173">
        <f>'Раздел 1'!D15+'Раздел 1'!D30</f>
        <v>26117880.270000003</v>
      </c>
      <c r="I262" s="103" t="s">
        <v>329</v>
      </c>
      <c r="J262" s="82">
        <v>111</v>
      </c>
      <c r="K262" s="142">
        <f>K16+E25</f>
        <v>18840412.080000002</v>
      </c>
      <c r="L262" s="82">
        <f>'Раздел 1'!D33</f>
        <v>18840412.079999998</v>
      </c>
      <c r="M262" s="82" t="b">
        <f>K262=L262</f>
        <v>1</v>
      </c>
      <c r="N262" s="142">
        <f t="shared" ref="N262:N271" si="17">K262-L262</f>
        <v>0</v>
      </c>
    </row>
    <row r="263" spans="2:19" ht="15" customHeight="1">
      <c r="D263" s="154">
        <f>H263-F263</f>
        <v>0</v>
      </c>
      <c r="E263" s="102" t="s">
        <v>313</v>
      </c>
      <c r="F263" s="86">
        <f>M16+I25+K34+K43+J58+J69+K81+H90+H99+J110+J119+K130+J139+L152+J173+J199+J208+J235+K256+J217</f>
        <v>3343795.55</v>
      </c>
      <c r="G263" s="82" t="b">
        <f>F263=H263</f>
        <v>1</v>
      </c>
      <c r="H263" s="153">
        <f>'Раздел 1'!D20</f>
        <v>3343795.55</v>
      </c>
      <c r="J263" s="82">
        <v>112</v>
      </c>
      <c r="K263" s="154">
        <f>H34</f>
        <v>0</v>
      </c>
      <c r="L263" s="82">
        <f>'Раздел 1'!D35</f>
        <v>0</v>
      </c>
      <c r="M263" s="82" t="b">
        <f t="shared" ref="M263:M271" si="18">K263=L263</f>
        <v>1</v>
      </c>
      <c r="N263" s="142">
        <f t="shared" si="17"/>
        <v>0</v>
      </c>
    </row>
    <row r="264" spans="2:19" ht="15" customHeight="1">
      <c r="D264" s="142">
        <f>H264-F264</f>
        <v>0</v>
      </c>
      <c r="E264" s="102" t="s">
        <v>299</v>
      </c>
      <c r="F264" s="87">
        <f>O16+L25+N34+N43+M58+M69+N81+K90+K99+N110+N119+N130+M139+O152+M173+M199+M208+M235+N256</f>
        <v>1650201.05</v>
      </c>
      <c r="G264" s="82" t="b">
        <f>F264=H264</f>
        <v>1</v>
      </c>
      <c r="H264" s="153">
        <f>'Раздел 1'!D16+F270-'Раздел 1'!D10</f>
        <v>1650201.05</v>
      </c>
      <c r="J264" s="82">
        <v>113</v>
      </c>
      <c r="K264" s="82">
        <f>H43</f>
        <v>0</v>
      </c>
      <c r="L264" s="82">
        <f>'Раздел 1'!D36</f>
        <v>0</v>
      </c>
      <c r="M264" s="82" t="b">
        <f t="shared" si="18"/>
        <v>1</v>
      </c>
      <c r="N264" s="142">
        <f t="shared" si="17"/>
        <v>0</v>
      </c>
    </row>
    <row r="265" spans="2:19" ht="15" customHeight="1">
      <c r="E265" s="102" t="s">
        <v>7</v>
      </c>
      <c r="F265" s="87">
        <f>SUM(F262:F264)</f>
        <v>31111876.870000005</v>
      </c>
      <c r="G265" s="87">
        <f t="shared" ref="G265:H265" si="19">SUM(G262:G264)</f>
        <v>0</v>
      </c>
      <c r="H265" s="87">
        <f t="shared" si="19"/>
        <v>31111876.870000005</v>
      </c>
      <c r="J265" s="82">
        <v>119</v>
      </c>
      <c r="K265" s="154">
        <f>G58+G68</f>
        <v>5689855.5899999999</v>
      </c>
      <c r="L265" s="142">
        <f>'Раздел 1'!D37</f>
        <v>5689855.5899999999</v>
      </c>
      <c r="M265" s="82" t="b">
        <f t="shared" si="18"/>
        <v>1</v>
      </c>
      <c r="N265" s="142">
        <f t="shared" si="17"/>
        <v>0</v>
      </c>
    </row>
    <row r="266" spans="2:19" ht="15" customHeight="1">
      <c r="J266" s="82">
        <v>851</v>
      </c>
      <c r="K266" s="154">
        <f>H81</f>
        <v>194800</v>
      </c>
      <c r="L266" s="82">
        <f>'Раздел 1'!D49</f>
        <v>194800</v>
      </c>
      <c r="M266" s="82" t="b">
        <f t="shared" si="18"/>
        <v>1</v>
      </c>
      <c r="N266" s="142">
        <f t="shared" si="17"/>
        <v>0</v>
      </c>
    </row>
    <row r="267" spans="2:19" ht="15" customHeight="1">
      <c r="J267" s="82">
        <v>852</v>
      </c>
      <c r="K267" s="154">
        <f>E90</f>
        <v>0</v>
      </c>
      <c r="L267" s="82">
        <f>'Раздел 1'!D50</f>
        <v>0</v>
      </c>
      <c r="M267" s="82" t="b">
        <f t="shared" si="18"/>
        <v>1</v>
      </c>
      <c r="N267" s="142">
        <f t="shared" si="17"/>
        <v>0</v>
      </c>
    </row>
    <row r="268" spans="2:19" ht="15" customHeight="1">
      <c r="J268" s="82">
        <v>853</v>
      </c>
      <c r="K268" s="154">
        <f>E99</f>
        <v>0</v>
      </c>
      <c r="L268" s="82">
        <f>'Раздел 1'!D51</f>
        <v>0</v>
      </c>
      <c r="M268" s="82" t="b">
        <f t="shared" si="18"/>
        <v>1</v>
      </c>
      <c r="N268" s="142">
        <f t="shared" si="17"/>
        <v>0</v>
      </c>
    </row>
    <row r="269" spans="2:19" ht="15" customHeight="1">
      <c r="J269" s="82">
        <v>243</v>
      </c>
      <c r="K269" s="154">
        <f>G110+G119</f>
        <v>0</v>
      </c>
      <c r="L269" s="142">
        <f>'Раздел 1'!D61</f>
        <v>0</v>
      </c>
      <c r="M269" s="82" t="b">
        <f t="shared" si="18"/>
        <v>1</v>
      </c>
      <c r="N269" s="142">
        <f t="shared" si="17"/>
        <v>0</v>
      </c>
    </row>
    <row r="270" spans="2:19" ht="15" customHeight="1">
      <c r="E270" s="103" t="s">
        <v>383</v>
      </c>
      <c r="F270" s="115">
        <f>'Раздел 1'!D9</f>
        <v>53493.05</v>
      </c>
      <c r="J270" s="82">
        <v>244.24700000000001</v>
      </c>
      <c r="K270" s="142">
        <f>H130+G139+I152+G173+G199+G208+G235+H256+G217</f>
        <v>6386809.2000000002</v>
      </c>
      <c r="L270" s="142">
        <f>'Раздел 1'!D59</f>
        <v>6386809.2000000002</v>
      </c>
      <c r="M270" s="82" t="b">
        <f t="shared" si="18"/>
        <v>1</v>
      </c>
      <c r="N270" s="142">
        <f>K270-L270</f>
        <v>0</v>
      </c>
      <c r="O270" s="142">
        <f>N263+N264+N269+N270</f>
        <v>0</v>
      </c>
      <c r="P270" s="142"/>
    </row>
    <row r="271" spans="2:19" ht="15" customHeight="1">
      <c r="J271" s="82" t="s">
        <v>330</v>
      </c>
      <c r="K271" s="142">
        <f>SUM(K262:K270)</f>
        <v>31111876.870000001</v>
      </c>
      <c r="L271" s="142">
        <f>SUM(L262:L270)</f>
        <v>31111876.869999997</v>
      </c>
      <c r="M271" s="82" t="b">
        <f t="shared" si="18"/>
        <v>1</v>
      </c>
      <c r="N271" s="142">
        <f t="shared" si="17"/>
        <v>0</v>
      </c>
    </row>
    <row r="272" spans="2:19" ht="15" customHeight="1">
      <c r="K272" s="82" t="b">
        <f>F265=K271</f>
        <v>1</v>
      </c>
    </row>
    <row r="273" spans="11:11" ht="15" customHeight="1">
      <c r="K273" s="82" t="b">
        <f>K271=H265</f>
        <v>1</v>
      </c>
    </row>
    <row r="274" spans="11:11" ht="15" customHeight="1"/>
    <row r="275" spans="11:11" ht="15" customHeight="1"/>
    <row r="276" spans="11:11" ht="15" customHeight="1"/>
    <row r="277" spans="11:11" ht="15" customHeight="1"/>
    <row r="278" spans="11:11" ht="15" customHeight="1"/>
    <row r="279" spans="11:11" ht="15" customHeight="1"/>
    <row r="280" spans="11:11" ht="15" customHeight="1"/>
    <row r="281" spans="11:11" ht="15" customHeight="1"/>
    <row r="282" spans="11:11" ht="15" customHeight="1"/>
    <row r="283" spans="11:11" ht="15" customHeight="1"/>
    <row r="284" spans="11:11" ht="15" customHeight="1"/>
    <row r="285" spans="11:11" ht="15" customHeight="1"/>
    <row r="286" spans="11:11" ht="15" customHeight="1"/>
    <row r="287" spans="11:11" ht="15" customHeight="1"/>
    <row r="288" spans="11:11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</sheetData>
  <mergeCells count="534">
    <mergeCell ref="D252:E252"/>
    <mergeCell ref="I252:J252"/>
    <mergeCell ref="K252:L252"/>
    <mergeCell ref="D253:E253"/>
    <mergeCell ref="I253:J253"/>
    <mergeCell ref="K253:L253"/>
    <mergeCell ref="H188:I188"/>
    <mergeCell ref="J188:K188"/>
    <mergeCell ref="H229:I229"/>
    <mergeCell ref="J230:K230"/>
    <mergeCell ref="H232:I232"/>
    <mergeCell ref="J232:K232"/>
    <mergeCell ref="H233:I233"/>
    <mergeCell ref="J233:K233"/>
    <mergeCell ref="D248:E248"/>
    <mergeCell ref="H192:I192"/>
    <mergeCell ref="J192:K192"/>
    <mergeCell ref="H193:I193"/>
    <mergeCell ref="J193:K193"/>
    <mergeCell ref="H194:I194"/>
    <mergeCell ref="J194:K194"/>
    <mergeCell ref="H196:I196"/>
    <mergeCell ref="J196:K196"/>
    <mergeCell ref="H195:I195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N21:O21"/>
    <mergeCell ref="E23:F23"/>
    <mergeCell ref="G23:H23"/>
    <mergeCell ref="I23:J23"/>
    <mergeCell ref="O10:P10"/>
    <mergeCell ref="C16:D16"/>
    <mergeCell ref="C18:N18"/>
    <mergeCell ref="B20:B22"/>
    <mergeCell ref="C20:C22"/>
    <mergeCell ref="D20:D22"/>
    <mergeCell ref="E20:F22"/>
    <mergeCell ref="G20:M20"/>
    <mergeCell ref="G21:H22"/>
    <mergeCell ref="I21:J22"/>
    <mergeCell ref="F10:F11"/>
    <mergeCell ref="G10:I10"/>
    <mergeCell ref="K10:K11"/>
    <mergeCell ref="L10:L11"/>
    <mergeCell ref="M10:M11"/>
    <mergeCell ref="N10:N11"/>
    <mergeCell ref="E24:F24"/>
    <mergeCell ref="G24:H24"/>
    <mergeCell ref="I24:J24"/>
    <mergeCell ref="C25:D25"/>
    <mergeCell ref="E25:F25"/>
    <mergeCell ref="G25:H25"/>
    <mergeCell ref="I25:J25"/>
    <mergeCell ref="K21:K22"/>
    <mergeCell ref="L21:M21"/>
    <mergeCell ref="K30:L31"/>
    <mergeCell ref="M30:M31"/>
    <mergeCell ref="N30:O30"/>
    <mergeCell ref="Q30:S30"/>
    <mergeCell ref="I32:J32"/>
    <mergeCell ref="K32:L32"/>
    <mergeCell ref="C27:N27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D147:E147"/>
    <mergeCell ref="J147:K147"/>
    <mergeCell ref="L147:M147"/>
    <mergeCell ref="I144:I145"/>
    <mergeCell ref="J144:K145"/>
    <mergeCell ref="L144:M145"/>
    <mergeCell ref="D150:E150"/>
    <mergeCell ref="J150:K150"/>
    <mergeCell ref="L150:M150"/>
    <mergeCell ref="D151:E151"/>
    <mergeCell ref="J151:K151"/>
    <mergeCell ref="L151:M151"/>
    <mergeCell ref="D148:E148"/>
    <mergeCell ref="J148:K148"/>
    <mergeCell ref="L148:M148"/>
    <mergeCell ref="D149:E149"/>
    <mergeCell ref="J149:K149"/>
    <mergeCell ref="L149:M149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1:I161"/>
    <mergeCell ref="J161:K161"/>
    <mergeCell ref="H162:I162"/>
    <mergeCell ref="J162:K162"/>
    <mergeCell ref="G157:G158"/>
    <mergeCell ref="H157:I158"/>
    <mergeCell ref="J157:K158"/>
    <mergeCell ref="H163:I163"/>
    <mergeCell ref="J163:K163"/>
    <mergeCell ref="H171:I171"/>
    <mergeCell ref="J171:K171"/>
    <mergeCell ref="H172:I172"/>
    <mergeCell ref="J172:K172"/>
    <mergeCell ref="C173:D173"/>
    <mergeCell ref="H173:I173"/>
    <mergeCell ref="J173:K173"/>
    <mergeCell ref="H164:I164"/>
    <mergeCell ref="H166:I166"/>
    <mergeCell ref="J164:K164"/>
    <mergeCell ref="J166:K166"/>
    <mergeCell ref="H170:I170"/>
    <mergeCell ref="J170:K170"/>
    <mergeCell ref="H165:I165"/>
    <mergeCell ref="J165:K165"/>
    <mergeCell ref="H168:I168"/>
    <mergeCell ref="J168:K168"/>
    <mergeCell ref="H167:I167"/>
    <mergeCell ref="J167:K167"/>
    <mergeCell ref="H169:I169"/>
    <mergeCell ref="J169:K169"/>
    <mergeCell ref="L178:L179"/>
    <mergeCell ref="M178:N178"/>
    <mergeCell ref="H180:I180"/>
    <mergeCell ref="J180:K180"/>
    <mergeCell ref="H181:I181"/>
    <mergeCell ref="J181:K181"/>
    <mergeCell ref="C175:M175"/>
    <mergeCell ref="B177:B179"/>
    <mergeCell ref="C177:C179"/>
    <mergeCell ref="D177:D179"/>
    <mergeCell ref="E177:E179"/>
    <mergeCell ref="F177:F179"/>
    <mergeCell ref="H177:N177"/>
    <mergeCell ref="G178:G179"/>
    <mergeCell ref="H178:I179"/>
    <mergeCell ref="J178:K179"/>
    <mergeCell ref="H182:I182"/>
    <mergeCell ref="J182:K182"/>
    <mergeCell ref="J195:K195"/>
    <mergeCell ref="H183:I183"/>
    <mergeCell ref="J183:K183"/>
    <mergeCell ref="C199:D199"/>
    <mergeCell ref="H199:I199"/>
    <mergeCell ref="J199:K199"/>
    <mergeCell ref="H198:I198"/>
    <mergeCell ref="J198:K198"/>
    <mergeCell ref="H197:I197"/>
    <mergeCell ref="J197:K197"/>
    <mergeCell ref="H190:I190"/>
    <mergeCell ref="J190:K190"/>
    <mergeCell ref="H191:I191"/>
    <mergeCell ref="J191:K191"/>
    <mergeCell ref="H185:I185"/>
    <mergeCell ref="J185:K185"/>
    <mergeCell ref="H186:I186"/>
    <mergeCell ref="J186:K186"/>
    <mergeCell ref="H187:I187"/>
    <mergeCell ref="J187:K187"/>
    <mergeCell ref="H189:I189"/>
    <mergeCell ref="J189:K189"/>
    <mergeCell ref="L204:L205"/>
    <mergeCell ref="M204:N204"/>
    <mergeCell ref="H206:I206"/>
    <mergeCell ref="J206:K206"/>
    <mergeCell ref="H207:I207"/>
    <mergeCell ref="J207:K207"/>
    <mergeCell ref="C201:M201"/>
    <mergeCell ref="B203:B205"/>
    <mergeCell ref="C203:C205"/>
    <mergeCell ref="D203:D205"/>
    <mergeCell ref="E203:E205"/>
    <mergeCell ref="F203:F205"/>
    <mergeCell ref="H203:N203"/>
    <mergeCell ref="G204:G205"/>
    <mergeCell ref="H204:I205"/>
    <mergeCell ref="J204:K205"/>
    <mergeCell ref="C208:D208"/>
    <mergeCell ref="H208:I208"/>
    <mergeCell ref="J208:K208"/>
    <mergeCell ref="C219:M219"/>
    <mergeCell ref="B221:B223"/>
    <mergeCell ref="C221:C223"/>
    <mergeCell ref="D221:D223"/>
    <mergeCell ref="E221:E223"/>
    <mergeCell ref="F221:F223"/>
    <mergeCell ref="H221:N221"/>
    <mergeCell ref="G222:G223"/>
    <mergeCell ref="H222:I223"/>
    <mergeCell ref="J222:K223"/>
    <mergeCell ref="L222:L223"/>
    <mergeCell ref="M222:N222"/>
    <mergeCell ref="B212:B214"/>
    <mergeCell ref="C212:C214"/>
    <mergeCell ref="D212:D214"/>
    <mergeCell ref="E212:E214"/>
    <mergeCell ref="F212:F214"/>
    <mergeCell ref="H212:N212"/>
    <mergeCell ref="G213:G214"/>
    <mergeCell ref="H213:I214"/>
    <mergeCell ref="J213:K214"/>
    <mergeCell ref="J225:K225"/>
    <mergeCell ref="H226:I226"/>
    <mergeCell ref="J226:K226"/>
    <mergeCell ref="H227:I227"/>
    <mergeCell ref="J227:K227"/>
    <mergeCell ref="H228:I228"/>
    <mergeCell ref="J228:K228"/>
    <mergeCell ref="B238:B240"/>
    <mergeCell ref="C238:C240"/>
    <mergeCell ref="D238:E240"/>
    <mergeCell ref="F238:F240"/>
    <mergeCell ref="G238:G240"/>
    <mergeCell ref="I238:O238"/>
    <mergeCell ref="H239:H240"/>
    <mergeCell ref="I239:J240"/>
    <mergeCell ref="K239:L240"/>
    <mergeCell ref="M239:M240"/>
    <mergeCell ref="N239:O239"/>
    <mergeCell ref="H231:I231"/>
    <mergeCell ref="J231:K231"/>
    <mergeCell ref="H230:I230"/>
    <mergeCell ref="J229:K229"/>
    <mergeCell ref="D246:E246"/>
    <mergeCell ref="I246:J246"/>
    <mergeCell ref="K246:L246"/>
    <mergeCell ref="D243:E243"/>
    <mergeCell ref="I243:J243"/>
    <mergeCell ref="K243:L243"/>
    <mergeCell ref="D241:E241"/>
    <mergeCell ref="I241:J241"/>
    <mergeCell ref="K241:L241"/>
    <mergeCell ref="D242:E242"/>
    <mergeCell ref="I242:J242"/>
    <mergeCell ref="K242:L242"/>
    <mergeCell ref="D245:E245"/>
    <mergeCell ref="I245:J245"/>
    <mergeCell ref="K245:L245"/>
    <mergeCell ref="D250:E250"/>
    <mergeCell ref="I250:J250"/>
    <mergeCell ref="K250:L250"/>
    <mergeCell ref="D251:E251"/>
    <mergeCell ref="I251:J251"/>
    <mergeCell ref="K251:L251"/>
    <mergeCell ref="D247:E247"/>
    <mergeCell ref="I247:J247"/>
    <mergeCell ref="K247:L247"/>
    <mergeCell ref="D249:E249"/>
    <mergeCell ref="I249:J249"/>
    <mergeCell ref="K249:L249"/>
    <mergeCell ref="I248:J248"/>
    <mergeCell ref="K248:L248"/>
    <mergeCell ref="D255:E255"/>
    <mergeCell ref="I255:J255"/>
    <mergeCell ref="K255:L255"/>
    <mergeCell ref="C256:E256"/>
    <mergeCell ref="I256:J256"/>
    <mergeCell ref="K256:L256"/>
    <mergeCell ref="D254:E254"/>
    <mergeCell ref="I254:J254"/>
    <mergeCell ref="K254:L254"/>
    <mergeCell ref="J184:K184"/>
    <mergeCell ref="H184:I184"/>
    <mergeCell ref="D244:E244"/>
    <mergeCell ref="I244:J244"/>
    <mergeCell ref="K244:L244"/>
    <mergeCell ref="D210:N210"/>
    <mergeCell ref="L213:L214"/>
    <mergeCell ref="M213:N213"/>
    <mergeCell ref="H215:I215"/>
    <mergeCell ref="J215:K215"/>
    <mergeCell ref="H216:I216"/>
    <mergeCell ref="J216:K216"/>
    <mergeCell ref="C217:D217"/>
    <mergeCell ref="H217:I217"/>
    <mergeCell ref="J217:K217"/>
    <mergeCell ref="H224:I224"/>
    <mergeCell ref="J224:K224"/>
    <mergeCell ref="C237:M237"/>
    <mergeCell ref="H234:I234"/>
    <mergeCell ref="J234:K234"/>
    <mergeCell ref="C235:D235"/>
    <mergeCell ref="H235:I235"/>
    <mergeCell ref="J235:K235"/>
    <mergeCell ref="H225:I225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1" manualBreakCount="1">
    <brk id="16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2023-10-18T05:10:00Z</cp:lastPrinted>
  <dcterms:created xsi:type="dcterms:W3CDTF">2017-01-05T07:07:42Z</dcterms:created>
  <dcterms:modified xsi:type="dcterms:W3CDTF">2024-02-02T07:15:51Z</dcterms:modified>
</cp:coreProperties>
</file>